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10" windowWidth="21840" windowHeight="8910" firstSheet="1" activeTab="1"/>
  </bookViews>
  <sheets>
    <sheet name="ЗАВТРАК 5 КЛАСС" sheetId="4" state="hidden" r:id="rId1"/>
    <sheet name="платное" sheetId="7" r:id="rId2"/>
  </sheets>
  <definedNames>
    <definedName name="_xlnm._FilterDatabase" localSheetId="1" hidden="1">платное!$A$2:$WNN$221</definedName>
  </definedNames>
  <calcPr calcId="144525"/>
</workbook>
</file>

<file path=xl/calcChain.xml><?xml version="1.0" encoding="utf-8"?>
<calcChain xmlns="http://schemas.openxmlformats.org/spreadsheetml/2006/main">
  <c r="E172" i="7" l="1"/>
  <c r="E137" i="7"/>
  <c r="D137" i="7"/>
  <c r="E34" i="7" l="1"/>
  <c r="D34" i="7"/>
  <c r="B170" i="7" l="1"/>
  <c r="G70" i="7"/>
  <c r="F70" i="7"/>
  <c r="E70" i="7"/>
  <c r="D70" i="7"/>
  <c r="E66" i="7" l="1"/>
  <c r="F66" i="7"/>
  <c r="G66" i="7"/>
  <c r="D66" i="7"/>
  <c r="B66" i="7"/>
  <c r="J167" i="7" l="1"/>
  <c r="K167" i="7"/>
  <c r="L167" i="7"/>
  <c r="D115" i="7"/>
  <c r="J115" i="7" s="1"/>
  <c r="E115" i="7"/>
  <c r="K115" i="7" s="1"/>
  <c r="F115" i="7"/>
  <c r="L115" i="7" s="1"/>
  <c r="J45" i="7"/>
  <c r="K45" i="7"/>
  <c r="L45" i="7"/>
  <c r="M167" i="7" l="1"/>
  <c r="M115" i="7"/>
  <c r="M45" i="7"/>
  <c r="G92" i="7"/>
  <c r="X92" i="7" s="1"/>
  <c r="F92" i="7"/>
  <c r="D92" i="7"/>
  <c r="G107" i="7"/>
  <c r="F40" i="7"/>
  <c r="Z137" i="7"/>
  <c r="E85" i="7"/>
  <c r="Z85" i="7" s="1"/>
  <c r="Z34" i="7"/>
  <c r="Y35" i="7"/>
  <c r="Z35" i="7"/>
  <c r="AA35" i="7"/>
  <c r="Z172" i="7"/>
  <c r="D178" i="7"/>
  <c r="E51" i="7"/>
  <c r="Z51" i="7" s="1"/>
  <c r="D51" i="7"/>
  <c r="D58" i="7" s="1"/>
  <c r="AA172" i="7"/>
  <c r="AA155" i="7"/>
  <c r="AA137" i="7"/>
  <c r="Y137" i="7"/>
  <c r="AA120" i="7"/>
  <c r="Z120" i="7"/>
  <c r="Y120" i="7"/>
  <c r="AA104" i="7"/>
  <c r="Z104" i="7"/>
  <c r="Y104" i="7"/>
  <c r="AA85" i="7"/>
  <c r="Y85" i="7"/>
  <c r="AA68" i="7"/>
  <c r="Z68" i="7"/>
  <c r="Y68" i="7"/>
  <c r="AA51" i="7"/>
  <c r="AA34" i="7"/>
  <c r="Y34" i="7"/>
  <c r="E155" i="7"/>
  <c r="E162" i="7" s="1"/>
  <c r="D155" i="7"/>
  <c r="D162" i="7" s="1"/>
  <c r="AA17" i="7"/>
  <c r="E23" i="7"/>
  <c r="Y17" i="7"/>
  <c r="E110" i="7"/>
  <c r="G110" i="7"/>
  <c r="E75" i="7"/>
  <c r="F75" i="7"/>
  <c r="G75" i="7"/>
  <c r="D75" i="7"/>
  <c r="D76" i="7" s="1"/>
  <c r="F58" i="7"/>
  <c r="G58" i="7"/>
  <c r="G40" i="7"/>
  <c r="F23" i="7"/>
  <c r="G23" i="7"/>
  <c r="G173" i="7"/>
  <c r="G178" i="7" s="1"/>
  <c r="X178" i="7" s="1"/>
  <c r="F178" i="7"/>
  <c r="B178" i="7"/>
  <c r="G170" i="7"/>
  <c r="E170" i="7"/>
  <c r="U179" i="7"/>
  <c r="U163" i="7"/>
  <c r="F144" i="7"/>
  <c r="G144" i="7"/>
  <c r="D144" i="7"/>
  <c r="F162" i="7"/>
  <c r="G162" i="7"/>
  <c r="U145" i="7"/>
  <c r="U127" i="7"/>
  <c r="G151" i="7"/>
  <c r="F151" i="7"/>
  <c r="E151" i="7"/>
  <c r="D151" i="7"/>
  <c r="G116" i="7"/>
  <c r="F116" i="7"/>
  <c r="E116" i="7"/>
  <c r="D116" i="7"/>
  <c r="G100" i="7"/>
  <c r="G102" i="7" s="1"/>
  <c r="F100" i="7"/>
  <c r="E100" i="7"/>
  <c r="D100" i="7"/>
  <c r="G81" i="7"/>
  <c r="F81" i="7"/>
  <c r="E81" i="7"/>
  <c r="D81" i="7"/>
  <c r="G47" i="7"/>
  <c r="G49" i="7" s="1"/>
  <c r="F47" i="7"/>
  <c r="E47" i="7"/>
  <c r="E49" i="7" s="1"/>
  <c r="D47" i="7"/>
  <c r="G30" i="7"/>
  <c r="G32" i="7" s="1"/>
  <c r="F30" i="7"/>
  <c r="F32" i="7" s="1"/>
  <c r="E30" i="7"/>
  <c r="E32" i="7" s="1"/>
  <c r="D30" i="7"/>
  <c r="D32" i="7" s="1"/>
  <c r="G13" i="7"/>
  <c r="G15" i="7" s="1"/>
  <c r="F13" i="7"/>
  <c r="E13" i="7"/>
  <c r="D13" i="7"/>
  <c r="V16" i="7"/>
  <c r="W16" i="7" s="1"/>
  <c r="V17" i="7"/>
  <c r="W17" i="7" s="1"/>
  <c r="V18" i="7"/>
  <c r="W18" i="7" s="1"/>
  <c r="V19" i="7"/>
  <c r="W19" i="7" s="1"/>
  <c r="V20" i="7"/>
  <c r="W20" i="7" s="1"/>
  <c r="V21" i="7"/>
  <c r="W21" i="7" s="1"/>
  <c r="V22" i="7"/>
  <c r="W22" i="7" s="1"/>
  <c r="U111" i="7"/>
  <c r="U24" i="7"/>
  <c r="V24" i="7" s="1"/>
  <c r="W24" i="7" s="1"/>
  <c r="U23" i="7"/>
  <c r="W23" i="7" s="1"/>
  <c r="U15" i="7"/>
  <c r="W15" i="7" s="1"/>
  <c r="E76" i="7" l="1"/>
  <c r="G76" i="7"/>
  <c r="E178" i="7"/>
  <c r="D23" i="7"/>
  <c r="Y51" i="7"/>
  <c r="E58" i="7"/>
  <c r="E40" i="7"/>
  <c r="E41" i="7" s="1"/>
  <c r="Y155" i="7"/>
  <c r="Z155" i="7"/>
  <c r="G83" i="7"/>
  <c r="G93" i="7" s="1"/>
  <c r="Z17" i="7"/>
  <c r="AB68" i="7"/>
  <c r="AB120" i="7"/>
  <c r="F41" i="7"/>
  <c r="AB17" i="7"/>
  <c r="AB35" i="7"/>
  <c r="AB51" i="7"/>
  <c r="AB104" i="7"/>
  <c r="E92" i="7"/>
  <c r="AB85" i="7"/>
  <c r="AB34" i="7"/>
  <c r="F76" i="7"/>
  <c r="G41" i="7"/>
  <c r="AB137" i="7"/>
  <c r="E144" i="7"/>
  <c r="Y172" i="7"/>
  <c r="AB172" i="7" s="1"/>
  <c r="G24" i="7"/>
  <c r="AB155" i="7" l="1"/>
  <c r="F170" i="7" l="1"/>
  <c r="D170" i="7"/>
  <c r="B162" i="7" l="1"/>
  <c r="B144" i="7"/>
  <c r="B135" i="7"/>
  <c r="B126" i="7"/>
  <c r="B118" i="7"/>
  <c r="B110" i="7"/>
  <c r="B92" i="7"/>
  <c r="B83" i="7"/>
  <c r="B75" i="7"/>
  <c r="K49" i="7" l="1"/>
  <c r="B49" i="7"/>
  <c r="J58" i="7"/>
  <c r="B58" i="7"/>
  <c r="B40" i="7"/>
  <c r="B32" i="7"/>
  <c r="K32" i="7"/>
  <c r="J32" i="7"/>
  <c r="B23" i="7"/>
  <c r="K11" i="7"/>
  <c r="G192" i="7"/>
  <c r="F192" i="7"/>
  <c r="E192" i="7"/>
  <c r="D192" i="7"/>
  <c r="G187" i="7"/>
  <c r="F187" i="7"/>
  <c r="E187" i="7"/>
  <c r="D187" i="7"/>
  <c r="G183" i="7"/>
  <c r="F183" i="7"/>
  <c r="L183" i="7" s="1"/>
  <c r="E183" i="7"/>
  <c r="K183" i="7" s="1"/>
  <c r="D183" i="7"/>
  <c r="J183" i="7" s="1"/>
  <c r="N178" i="7"/>
  <c r="L178" i="7"/>
  <c r="K178" i="7"/>
  <c r="J178" i="7"/>
  <c r="N177" i="7"/>
  <c r="L177" i="7"/>
  <c r="K177" i="7"/>
  <c r="J177" i="7"/>
  <c r="L176" i="7"/>
  <c r="K176" i="7"/>
  <c r="J176" i="7"/>
  <c r="L175" i="7"/>
  <c r="K175" i="7"/>
  <c r="J175" i="7"/>
  <c r="L174" i="7"/>
  <c r="K174" i="7"/>
  <c r="J174" i="7"/>
  <c r="L173" i="7"/>
  <c r="K173" i="7"/>
  <c r="J173" i="7"/>
  <c r="L171" i="7"/>
  <c r="K171" i="7"/>
  <c r="J171" i="7"/>
  <c r="N170" i="7"/>
  <c r="L169" i="7"/>
  <c r="K169" i="7"/>
  <c r="J169" i="7"/>
  <c r="K166" i="7"/>
  <c r="J166" i="7"/>
  <c r="L165" i="7"/>
  <c r="K165" i="7"/>
  <c r="J165" i="7"/>
  <c r="L164" i="7"/>
  <c r="K164" i="7"/>
  <c r="J164" i="7"/>
  <c r="N163" i="7"/>
  <c r="N162" i="7"/>
  <c r="L162" i="7"/>
  <c r="K162" i="7"/>
  <c r="J162" i="7"/>
  <c r="L161" i="7"/>
  <c r="K161" i="7"/>
  <c r="J161" i="7"/>
  <c r="L160" i="7"/>
  <c r="K160" i="7"/>
  <c r="J160" i="7"/>
  <c r="L159" i="7"/>
  <c r="K159" i="7"/>
  <c r="J159" i="7"/>
  <c r="L158" i="7"/>
  <c r="K158" i="7"/>
  <c r="J158" i="7"/>
  <c r="L157" i="7"/>
  <c r="K157" i="7"/>
  <c r="J157" i="7"/>
  <c r="L156" i="7"/>
  <c r="K156" i="7"/>
  <c r="J156" i="7"/>
  <c r="L154" i="7"/>
  <c r="K154" i="7"/>
  <c r="J154" i="7"/>
  <c r="G153" i="7"/>
  <c r="B153" i="7"/>
  <c r="L152" i="7"/>
  <c r="K152" i="7"/>
  <c r="J152" i="7"/>
  <c r="F150" i="7"/>
  <c r="F153" i="7" s="1"/>
  <c r="E150" i="7"/>
  <c r="D150" i="7"/>
  <c r="L149" i="7"/>
  <c r="K149" i="7"/>
  <c r="J149" i="7"/>
  <c r="L148" i="7"/>
  <c r="E148" i="7"/>
  <c r="K148" i="7" s="1"/>
  <c r="D148" i="7"/>
  <c r="L147" i="7"/>
  <c r="K147" i="7"/>
  <c r="J147" i="7"/>
  <c r="L146" i="7"/>
  <c r="K146" i="7"/>
  <c r="J146" i="7"/>
  <c r="N144" i="7"/>
  <c r="L144" i="7"/>
  <c r="K144" i="7"/>
  <c r="N143" i="7"/>
  <c r="L143" i="7"/>
  <c r="K143" i="7"/>
  <c r="J143" i="7"/>
  <c r="L142" i="7"/>
  <c r="K142" i="7"/>
  <c r="J142" i="7"/>
  <c r="L141" i="7"/>
  <c r="K141" i="7"/>
  <c r="J141" i="7"/>
  <c r="L140" i="7"/>
  <c r="K140" i="7"/>
  <c r="J140" i="7"/>
  <c r="L139" i="7"/>
  <c r="K139" i="7"/>
  <c r="J139" i="7"/>
  <c r="L138" i="7"/>
  <c r="K138" i="7"/>
  <c r="J138" i="7"/>
  <c r="L136" i="7"/>
  <c r="K136" i="7"/>
  <c r="J136" i="7"/>
  <c r="N135" i="7"/>
  <c r="O135" i="7" s="1"/>
  <c r="P135" i="7" s="1"/>
  <c r="G135" i="7"/>
  <c r="F135" i="7"/>
  <c r="L135" i="7" s="1"/>
  <c r="E135" i="7"/>
  <c r="K135" i="7" s="1"/>
  <c r="D135" i="7"/>
  <c r="J135" i="7" s="1"/>
  <c r="L134" i="7"/>
  <c r="K134" i="7"/>
  <c r="J134" i="7"/>
  <c r="L131" i="7"/>
  <c r="K131" i="7"/>
  <c r="J131" i="7"/>
  <c r="L130" i="7"/>
  <c r="K130" i="7"/>
  <c r="J130" i="7"/>
  <c r="L129" i="7"/>
  <c r="K129" i="7"/>
  <c r="J129" i="7"/>
  <c r="L128" i="7"/>
  <c r="K128" i="7"/>
  <c r="J128" i="7"/>
  <c r="N126" i="7"/>
  <c r="G126" i="7"/>
  <c r="G181" i="7" s="1"/>
  <c r="F126" i="7"/>
  <c r="L126" i="7" s="1"/>
  <c r="E126" i="7"/>
  <c r="D126" i="7"/>
  <c r="J126" i="7" s="1"/>
  <c r="N125" i="7"/>
  <c r="L125" i="7"/>
  <c r="K125" i="7"/>
  <c r="J125" i="7"/>
  <c r="L124" i="7"/>
  <c r="K124" i="7"/>
  <c r="J124" i="7"/>
  <c r="L123" i="7"/>
  <c r="K123" i="7"/>
  <c r="J123" i="7"/>
  <c r="L121" i="7"/>
  <c r="K121" i="7"/>
  <c r="J121" i="7"/>
  <c r="L119" i="7"/>
  <c r="K119" i="7"/>
  <c r="J119" i="7"/>
  <c r="N118" i="7"/>
  <c r="G118" i="7"/>
  <c r="L117" i="7"/>
  <c r="K117" i="7"/>
  <c r="J117" i="7"/>
  <c r="F118" i="7"/>
  <c r="E118" i="7"/>
  <c r="L114" i="7"/>
  <c r="K114" i="7"/>
  <c r="L113" i="7"/>
  <c r="K113" i="7"/>
  <c r="J113" i="7"/>
  <c r="L112" i="7"/>
  <c r="K112" i="7"/>
  <c r="J112" i="7"/>
  <c r="N111" i="7"/>
  <c r="N110" i="7"/>
  <c r="K110" i="7"/>
  <c r="L109" i="7"/>
  <c r="K109" i="7"/>
  <c r="J109" i="7"/>
  <c r="L108" i="7"/>
  <c r="K108" i="7"/>
  <c r="J108" i="7"/>
  <c r="L107" i="7"/>
  <c r="K107" i="7"/>
  <c r="J107" i="7"/>
  <c r="K106" i="7"/>
  <c r="F110" i="7"/>
  <c r="D110" i="7"/>
  <c r="L105" i="7"/>
  <c r="K105" i="7"/>
  <c r="J105" i="7"/>
  <c r="L103" i="7"/>
  <c r="K103" i="7"/>
  <c r="J103" i="7"/>
  <c r="N102" i="7"/>
  <c r="B102" i="7"/>
  <c r="L101" i="7"/>
  <c r="K101" i="7"/>
  <c r="J101" i="7"/>
  <c r="F99" i="7"/>
  <c r="E99" i="7"/>
  <c r="D99" i="7"/>
  <c r="D102" i="7" s="1"/>
  <c r="L98" i="7"/>
  <c r="K98" i="7"/>
  <c r="J98" i="7"/>
  <c r="K96" i="7"/>
  <c r="J96" i="7"/>
  <c r="L95" i="7"/>
  <c r="K95" i="7"/>
  <c r="J95" i="7"/>
  <c r="L94" i="7"/>
  <c r="K94" i="7"/>
  <c r="J94" i="7"/>
  <c r="N93" i="7"/>
  <c r="N92" i="7"/>
  <c r="K92" i="7"/>
  <c r="L91" i="7"/>
  <c r="K91" i="7"/>
  <c r="J91" i="7"/>
  <c r="L90" i="7"/>
  <c r="K90" i="7"/>
  <c r="J90" i="7"/>
  <c r="L89" i="7"/>
  <c r="K89" i="7"/>
  <c r="J89" i="7"/>
  <c r="L87" i="7"/>
  <c r="K87" i="7"/>
  <c r="J87" i="7"/>
  <c r="K86" i="7"/>
  <c r="L92" i="7"/>
  <c r="J86" i="7"/>
  <c r="L84" i="7"/>
  <c r="K84" i="7"/>
  <c r="J84" i="7"/>
  <c r="N83" i="7"/>
  <c r="L82" i="7"/>
  <c r="K82" i="7"/>
  <c r="J82" i="7"/>
  <c r="F80" i="7"/>
  <c r="F83" i="7" s="1"/>
  <c r="F93" i="7" s="1"/>
  <c r="E80" i="7"/>
  <c r="E83" i="7" s="1"/>
  <c r="E93" i="7" s="1"/>
  <c r="D80" i="7"/>
  <c r="D83" i="7" s="1"/>
  <c r="D93" i="7" s="1"/>
  <c r="L79" i="7"/>
  <c r="K79" i="7"/>
  <c r="J79" i="7"/>
  <c r="L78" i="7"/>
  <c r="K78" i="7"/>
  <c r="J78" i="7"/>
  <c r="L77" i="7"/>
  <c r="K77" i="7"/>
  <c r="J77" i="7"/>
  <c r="N76" i="7"/>
  <c r="N75" i="7"/>
  <c r="L75" i="7"/>
  <c r="J75" i="7"/>
  <c r="L74" i="7"/>
  <c r="K74" i="7"/>
  <c r="J74" i="7"/>
  <c r="L73" i="7"/>
  <c r="K73" i="7"/>
  <c r="J73" i="7"/>
  <c r="L72" i="7"/>
  <c r="K72" i="7"/>
  <c r="J72" i="7"/>
  <c r="L71" i="7"/>
  <c r="K71" i="7"/>
  <c r="J71" i="7"/>
  <c r="L70" i="7"/>
  <c r="K70" i="7"/>
  <c r="J70" i="7"/>
  <c r="L69" i="7"/>
  <c r="K69" i="7"/>
  <c r="J69" i="7"/>
  <c r="L67" i="7"/>
  <c r="K67" i="7"/>
  <c r="J67" i="7"/>
  <c r="N66" i="7"/>
  <c r="L66" i="7"/>
  <c r="K66" i="7"/>
  <c r="J66" i="7"/>
  <c r="L65" i="7"/>
  <c r="K65" i="7"/>
  <c r="J65" i="7"/>
  <c r="L62" i="7"/>
  <c r="K62" i="7"/>
  <c r="J62" i="7"/>
  <c r="L61" i="7"/>
  <c r="K61" i="7"/>
  <c r="J61" i="7"/>
  <c r="L60" i="7"/>
  <c r="K60" i="7"/>
  <c r="J60" i="7"/>
  <c r="N59" i="7"/>
  <c r="N58" i="7"/>
  <c r="L58" i="7"/>
  <c r="L57" i="7"/>
  <c r="K57" i="7"/>
  <c r="J57" i="7"/>
  <c r="L56" i="7"/>
  <c r="K56" i="7"/>
  <c r="J56" i="7"/>
  <c r="L55" i="7"/>
  <c r="K55" i="7"/>
  <c r="J55" i="7"/>
  <c r="L54" i="7"/>
  <c r="K54" i="7"/>
  <c r="J54" i="7"/>
  <c r="L53" i="7"/>
  <c r="K53" i="7"/>
  <c r="J53" i="7"/>
  <c r="L52" i="7"/>
  <c r="K52" i="7"/>
  <c r="J52" i="7"/>
  <c r="L50" i="7"/>
  <c r="K50" i="7"/>
  <c r="J50" i="7"/>
  <c r="N49" i="7"/>
  <c r="L48" i="7"/>
  <c r="K48" i="7"/>
  <c r="J48" i="7"/>
  <c r="L46" i="7"/>
  <c r="K46" i="7"/>
  <c r="J46" i="7"/>
  <c r="K44" i="7"/>
  <c r="F44" i="7"/>
  <c r="F49" i="7" s="1"/>
  <c r="D44" i="7"/>
  <c r="D49" i="7" s="1"/>
  <c r="L43" i="7"/>
  <c r="K43" i="7"/>
  <c r="J43" i="7"/>
  <c r="L42" i="7"/>
  <c r="K42" i="7"/>
  <c r="J42" i="7"/>
  <c r="N41" i="7"/>
  <c r="N40" i="7"/>
  <c r="L40" i="7"/>
  <c r="K40" i="7"/>
  <c r="L39" i="7"/>
  <c r="K39" i="7"/>
  <c r="J39" i="7"/>
  <c r="L38" i="7"/>
  <c r="K38" i="7"/>
  <c r="J38" i="7"/>
  <c r="L37" i="7"/>
  <c r="K37" i="7"/>
  <c r="J37" i="7"/>
  <c r="L36" i="7"/>
  <c r="K36" i="7"/>
  <c r="D36" i="7"/>
  <c r="D40" i="7" s="1"/>
  <c r="L35" i="7"/>
  <c r="K35" i="7"/>
  <c r="J35" i="7"/>
  <c r="L33" i="7"/>
  <c r="K33" i="7"/>
  <c r="J33" i="7"/>
  <c r="N32" i="7"/>
  <c r="L31" i="7"/>
  <c r="K31" i="7"/>
  <c r="J31" i="7"/>
  <c r="L29" i="7"/>
  <c r="K29" i="7"/>
  <c r="J29" i="7"/>
  <c r="L28" i="7"/>
  <c r="K28" i="7"/>
  <c r="J28" i="7"/>
  <c r="L27" i="7"/>
  <c r="K27" i="7"/>
  <c r="J27" i="7"/>
  <c r="L26" i="7"/>
  <c r="K26" i="7"/>
  <c r="J26" i="7"/>
  <c r="L25" i="7"/>
  <c r="K25" i="7"/>
  <c r="J25" i="7"/>
  <c r="N24" i="7"/>
  <c r="N23" i="7"/>
  <c r="L23" i="7"/>
  <c r="L22" i="7"/>
  <c r="K22" i="7"/>
  <c r="J22" i="7"/>
  <c r="L21" i="7"/>
  <c r="K21" i="7"/>
  <c r="J21" i="7"/>
  <c r="L20" i="7"/>
  <c r="K20" i="7"/>
  <c r="J20" i="7"/>
  <c r="L19" i="7"/>
  <c r="K19" i="7"/>
  <c r="J19" i="7"/>
  <c r="L18" i="7"/>
  <c r="K18" i="7"/>
  <c r="J18" i="7"/>
  <c r="L16" i="7"/>
  <c r="K16" i="7"/>
  <c r="J16" i="7"/>
  <c r="N15" i="7"/>
  <c r="B15" i="7"/>
  <c r="L14" i="7"/>
  <c r="K14" i="7"/>
  <c r="J14" i="7"/>
  <c r="F12" i="7"/>
  <c r="F15" i="7" s="1"/>
  <c r="F24" i="7" s="1"/>
  <c r="E12" i="7"/>
  <c r="E15" i="7" s="1"/>
  <c r="E24" i="7" s="1"/>
  <c r="D12" i="7"/>
  <c r="D15" i="7" s="1"/>
  <c r="D24" i="7" s="1"/>
  <c r="R11" i="7"/>
  <c r="Q11" i="7"/>
  <c r="P11" i="7"/>
  <c r="L11" i="7"/>
  <c r="J11" i="7"/>
  <c r="D41" i="7" l="1"/>
  <c r="D181" i="7"/>
  <c r="K126" i="7"/>
  <c r="M126" i="7" s="1"/>
  <c r="E181" i="7"/>
  <c r="E186" i="7" s="1"/>
  <c r="E188" i="7" s="1"/>
  <c r="E189" i="7" s="1"/>
  <c r="K99" i="7"/>
  <c r="E102" i="7"/>
  <c r="E111" i="7" s="1"/>
  <c r="K111" i="7" s="1"/>
  <c r="L96" i="7"/>
  <c r="M96" i="7" s="1"/>
  <c r="F102" i="7"/>
  <c r="J15" i="7"/>
  <c r="J36" i="7"/>
  <c r="M36" i="7" s="1"/>
  <c r="L24" i="7"/>
  <c r="G145" i="7"/>
  <c r="G127" i="7"/>
  <c r="K83" i="7"/>
  <c r="M177" i="7"/>
  <c r="L41" i="7"/>
  <c r="M169" i="7"/>
  <c r="G111" i="7"/>
  <c r="D153" i="7"/>
  <c r="J153" i="7" s="1"/>
  <c r="J12" i="7"/>
  <c r="B180" i="7"/>
  <c r="G163" i="7"/>
  <c r="L86" i="7"/>
  <c r="M86" i="7" s="1"/>
  <c r="D118" i="7"/>
  <c r="J118" i="7" s="1"/>
  <c r="M139" i="7"/>
  <c r="M143" i="7"/>
  <c r="M146" i="7"/>
  <c r="M154" i="7"/>
  <c r="M159" i="7"/>
  <c r="M109" i="7"/>
  <c r="M112" i="7"/>
  <c r="M125" i="7"/>
  <c r="K24" i="7"/>
  <c r="M26" i="7"/>
  <c r="M42" i="7"/>
  <c r="M53" i="7"/>
  <c r="M57" i="7"/>
  <c r="M69" i="7"/>
  <c r="M73" i="7"/>
  <c r="M78" i="7"/>
  <c r="M31" i="7"/>
  <c r="M52" i="7"/>
  <c r="M56" i="7"/>
  <c r="M61" i="7"/>
  <c r="M65" i="7"/>
  <c r="M67" i="7"/>
  <c r="M72" i="7"/>
  <c r="M77" i="7"/>
  <c r="M108" i="7"/>
  <c r="M147" i="7"/>
  <c r="F179" i="7"/>
  <c r="L179" i="7" s="1"/>
  <c r="M171" i="7"/>
  <c r="M176" i="7"/>
  <c r="M178" i="7"/>
  <c r="M107" i="7"/>
  <c r="G180" i="7"/>
  <c r="G182" i="7" s="1"/>
  <c r="G184" i="7" s="1"/>
  <c r="G185" i="7" s="1"/>
  <c r="M95" i="7"/>
  <c r="M113" i="7"/>
  <c r="M131" i="7"/>
  <c r="E153" i="7"/>
  <c r="K153" i="7" s="1"/>
  <c r="M158" i="7"/>
  <c r="M130" i="7"/>
  <c r="M25" i="7"/>
  <c r="M62" i="7"/>
  <c r="M28" i="7"/>
  <c r="M39" i="7"/>
  <c r="M50" i="7"/>
  <c r="M55" i="7"/>
  <c r="M60" i="7"/>
  <c r="M71" i="7"/>
  <c r="M20" i="7"/>
  <c r="M27" i="7"/>
  <c r="M33" i="7"/>
  <c r="M38" i="7"/>
  <c r="M43" i="7"/>
  <c r="M54" i="7"/>
  <c r="M70" i="7"/>
  <c r="M74" i="7"/>
  <c r="M79" i="7"/>
  <c r="M29" i="7"/>
  <c r="S11" i="7"/>
  <c r="M19" i="7"/>
  <c r="M11" i="7"/>
  <c r="K12" i="7"/>
  <c r="M18" i="7"/>
  <c r="M22" i="7"/>
  <c r="M37" i="7"/>
  <c r="K41" i="7"/>
  <c r="M46" i="7"/>
  <c r="G59" i="7"/>
  <c r="E59" i="7"/>
  <c r="K59" i="7" s="1"/>
  <c r="K76" i="7"/>
  <c r="J76" i="7"/>
  <c r="M87" i="7"/>
  <c r="M91" i="7"/>
  <c r="M94" i="7"/>
  <c r="M101" i="7"/>
  <c r="M105" i="7"/>
  <c r="M117" i="7"/>
  <c r="M121" i="7"/>
  <c r="M124" i="7"/>
  <c r="M129" i="7"/>
  <c r="M136" i="7"/>
  <c r="M141" i="7"/>
  <c r="M149" i="7"/>
  <c r="M157" i="7"/>
  <c r="M161" i="7"/>
  <c r="M165" i="7"/>
  <c r="M175" i="7"/>
  <c r="M14" i="7"/>
  <c r="M16" i="7"/>
  <c r="M21" i="7"/>
  <c r="M35" i="7"/>
  <c r="M66" i="7"/>
  <c r="J80" i="7"/>
  <c r="M84" i="7"/>
  <c r="M90" i="7"/>
  <c r="M98" i="7"/>
  <c r="M119" i="7"/>
  <c r="M123" i="7"/>
  <c r="M128" i="7"/>
  <c r="M134" i="7"/>
  <c r="M140" i="7"/>
  <c r="D145" i="7"/>
  <c r="J145" i="7" s="1"/>
  <c r="M156" i="7"/>
  <c r="M160" i="7"/>
  <c r="M164" i="7"/>
  <c r="D179" i="7"/>
  <c r="J179" i="7" s="1"/>
  <c r="G179" i="7"/>
  <c r="M174" i="7"/>
  <c r="K80" i="7"/>
  <c r="M173" i="7"/>
  <c r="M138" i="7"/>
  <c r="M142" i="7"/>
  <c r="M152" i="7"/>
  <c r="J49" i="7"/>
  <c r="D59" i="7"/>
  <c r="J59" i="7" s="1"/>
  <c r="J83" i="7"/>
  <c r="K23" i="7"/>
  <c r="L32" i="7"/>
  <c r="M32" i="7" s="1"/>
  <c r="L12" i="7"/>
  <c r="B181" i="7"/>
  <c r="G186" i="7"/>
  <c r="G188" i="7" s="1"/>
  <c r="G189" i="7" s="1"/>
  <c r="O40" i="7"/>
  <c r="P40" i="7" s="1"/>
  <c r="L49" i="7"/>
  <c r="F59" i="7"/>
  <c r="L59" i="7" s="1"/>
  <c r="K58" i="7"/>
  <c r="M58" i="7" s="1"/>
  <c r="K75" i="7"/>
  <c r="M75" i="7" s="1"/>
  <c r="M89" i="7"/>
  <c r="J102" i="7"/>
  <c r="M103" i="7"/>
  <c r="M135" i="7"/>
  <c r="L153" i="7"/>
  <c r="F163" i="7"/>
  <c r="L163" i="7" s="1"/>
  <c r="M162" i="7"/>
  <c r="M183" i="7"/>
  <c r="J23" i="7"/>
  <c r="J44" i="7"/>
  <c r="M48" i="7"/>
  <c r="M82" i="7"/>
  <c r="E127" i="7"/>
  <c r="K127" i="7" s="1"/>
  <c r="K118" i="7"/>
  <c r="L93" i="7"/>
  <c r="L83" i="7"/>
  <c r="J92" i="7"/>
  <c r="M92" i="7" s="1"/>
  <c r="J110" i="7"/>
  <c r="J106" i="7"/>
  <c r="F127" i="7"/>
  <c r="L127" i="7" s="1"/>
  <c r="L118" i="7"/>
  <c r="E179" i="7"/>
  <c r="K179" i="7" s="1"/>
  <c r="K170" i="7"/>
  <c r="L99" i="7"/>
  <c r="L110" i="7"/>
  <c r="L106" i="7"/>
  <c r="L44" i="7"/>
  <c r="L76" i="7"/>
  <c r="L80" i="7"/>
  <c r="J99" i="7"/>
  <c r="J114" i="7"/>
  <c r="M114" i="7" s="1"/>
  <c r="O118" i="7"/>
  <c r="P118" i="7" s="1"/>
  <c r="E145" i="7"/>
  <c r="K145" i="7" s="1"/>
  <c r="L166" i="7"/>
  <c r="M166" i="7" s="1"/>
  <c r="F145" i="7"/>
  <c r="L145" i="7" s="1"/>
  <c r="J148" i="7"/>
  <c r="M148" i="7" s="1"/>
  <c r="J144" i="7"/>
  <c r="M144" i="7" s="1"/>
  <c r="J24" i="7" l="1"/>
  <c r="M24" i="7" s="1"/>
  <c r="L15" i="7"/>
  <c r="J40" i="7"/>
  <c r="M40" i="7" s="1"/>
  <c r="K93" i="7"/>
  <c r="D127" i="7"/>
  <c r="J127" i="7" s="1"/>
  <c r="M127" i="7" s="1"/>
  <c r="F180" i="7"/>
  <c r="F182" i="7" s="1"/>
  <c r="J170" i="7"/>
  <c r="K181" i="7"/>
  <c r="D163" i="7"/>
  <c r="J163" i="7" s="1"/>
  <c r="D180" i="7"/>
  <c r="D182" i="7" s="1"/>
  <c r="E163" i="7"/>
  <c r="K163" i="7" s="1"/>
  <c r="E180" i="7"/>
  <c r="E182" i="7" s="1"/>
  <c r="J41" i="7"/>
  <c r="M41" i="7" s="1"/>
  <c r="M12" i="7"/>
  <c r="K102" i="7"/>
  <c r="K15" i="7"/>
  <c r="M145" i="7"/>
  <c r="L170" i="7"/>
  <c r="L102" i="7"/>
  <c r="M76" i="7"/>
  <c r="M153" i="7"/>
  <c r="M110" i="7"/>
  <c r="M118" i="7"/>
  <c r="M23" i="7"/>
  <c r="M80" i="7"/>
  <c r="M106" i="7"/>
  <c r="M83" i="7"/>
  <c r="G190" i="7"/>
  <c r="G191" i="7" s="1"/>
  <c r="G193" i="7" s="1"/>
  <c r="G194" i="7" s="1"/>
  <c r="M99" i="7"/>
  <c r="M59" i="7"/>
  <c r="M44" i="7"/>
  <c r="F181" i="7"/>
  <c r="D111" i="7"/>
  <c r="J111" i="7" s="1"/>
  <c r="M49" i="7"/>
  <c r="J93" i="7"/>
  <c r="M179" i="7"/>
  <c r="F111" i="7"/>
  <c r="L111" i="7" s="1"/>
  <c r="M15" i="7" l="1"/>
  <c r="M170" i="7"/>
  <c r="M93" i="7"/>
  <c r="L180" i="7"/>
  <c r="M163" i="7"/>
  <c r="J180" i="7"/>
  <c r="D190" i="7"/>
  <c r="D191" i="7" s="1"/>
  <c r="D193" i="7" s="1"/>
  <c r="D194" i="7" s="1"/>
  <c r="K180" i="7"/>
  <c r="E190" i="7"/>
  <c r="E191" i="7" s="1"/>
  <c r="E193" i="7" s="1"/>
  <c r="E194" i="7" s="1"/>
  <c r="M102" i="7"/>
  <c r="M111" i="7"/>
  <c r="F186" i="7"/>
  <c r="F188" i="7" s="1"/>
  <c r="F189" i="7" s="1"/>
  <c r="L181" i="7"/>
  <c r="F184" i="7"/>
  <c r="L182" i="7"/>
  <c r="E184" i="7"/>
  <c r="K182" i="7"/>
  <c r="F190" i="7"/>
  <c r="F191" i="7" s="1"/>
  <c r="F193" i="7" s="1"/>
  <c r="F194" i="7" s="1"/>
  <c r="D184" i="7"/>
  <c r="J182" i="7"/>
  <c r="D186" i="7"/>
  <c r="D188" i="7" s="1"/>
  <c r="D189" i="7" s="1"/>
  <c r="J181" i="7"/>
  <c r="M180" i="7" l="1"/>
  <c r="M181" i="7"/>
  <c r="M182" i="7"/>
  <c r="D185" i="7"/>
  <c r="J184" i="7"/>
  <c r="F185" i="7"/>
  <c r="L184" i="7"/>
  <c r="E185" i="7"/>
  <c r="K184" i="7"/>
  <c r="M184" i="7" l="1"/>
  <c r="G24" i="4" l="1"/>
  <c r="F24" i="4"/>
  <c r="E24" i="4"/>
  <c r="D24" i="4"/>
  <c r="B68" i="4" l="1"/>
  <c r="G54" i="4"/>
  <c r="D54" i="4"/>
  <c r="G44" i="4"/>
  <c r="F44" i="4"/>
  <c r="E44" i="4"/>
  <c r="D44" i="4"/>
  <c r="E34" i="4"/>
  <c r="F34" i="4"/>
  <c r="G34" i="4"/>
  <c r="G27" i="4"/>
  <c r="G75" i="4"/>
  <c r="F75" i="4"/>
  <c r="E75" i="4"/>
  <c r="D75" i="4"/>
  <c r="G68" i="4"/>
  <c r="F68" i="4"/>
  <c r="E68" i="4"/>
  <c r="D68" i="4"/>
  <c r="G61" i="4"/>
  <c r="F61" i="4"/>
  <c r="E61" i="4"/>
  <c r="D61" i="4"/>
  <c r="F54" i="4"/>
  <c r="E54" i="4"/>
  <c r="G46" i="4"/>
  <c r="G41" i="4"/>
  <c r="F41" i="4"/>
  <c r="E41" i="4"/>
  <c r="D41" i="4"/>
  <c r="D34" i="4"/>
  <c r="G21" i="4"/>
  <c r="F21" i="4"/>
  <c r="E21" i="4"/>
  <c r="D21" i="4"/>
  <c r="B21" i="4"/>
  <c r="G14" i="4"/>
  <c r="F14" i="4"/>
  <c r="E14" i="4"/>
  <c r="D14" i="4"/>
  <c r="G47" i="4" l="1"/>
  <c r="E27" i="4"/>
  <c r="D47" i="4"/>
  <c r="F27" i="4"/>
  <c r="D27" i="4"/>
  <c r="E47" i="4"/>
  <c r="F47" i="4"/>
</calcChain>
</file>

<file path=xl/sharedStrings.xml><?xml version="1.0" encoding="utf-8"?>
<sst xmlns="http://schemas.openxmlformats.org/spreadsheetml/2006/main" count="328" uniqueCount="121">
  <si>
    <t>№ рецептур</t>
  </si>
  <si>
    <t xml:space="preserve">   Наименование бдюда</t>
  </si>
  <si>
    <t>Масса порции          (г)</t>
  </si>
  <si>
    <t>Пищевые вещества (г )</t>
  </si>
  <si>
    <t>Энергетическая ценность (ккал)</t>
  </si>
  <si>
    <t>Б</t>
  </si>
  <si>
    <t>Ж</t>
  </si>
  <si>
    <t>У</t>
  </si>
  <si>
    <t>ПР</t>
  </si>
  <si>
    <t>Чай с сахаром</t>
  </si>
  <si>
    <t>Итого завтрак:</t>
  </si>
  <si>
    <t xml:space="preserve">Каша гречневая рассыпчатая </t>
  </si>
  <si>
    <t>Котлета куриная с соусом красным</t>
  </si>
  <si>
    <t>Компот из сухофруктов</t>
  </si>
  <si>
    <t>Хлеб ржаной</t>
  </si>
  <si>
    <t>Хлеб пшеничный</t>
  </si>
  <si>
    <t>Итого обед:</t>
  </si>
  <si>
    <t>Итого за день</t>
  </si>
  <si>
    <t>Чай с сахаром лимоном</t>
  </si>
  <si>
    <t>Тефтели " мясные"  с соусом красным</t>
  </si>
  <si>
    <t>Напиток из шиповника</t>
  </si>
  <si>
    <t>Суп гороховый  на м/к бульоне</t>
  </si>
  <si>
    <t>Итого завтрак</t>
  </si>
  <si>
    <t>Итого обед</t>
  </si>
  <si>
    <t>Картофель отварной</t>
  </si>
  <si>
    <t>Компот из  свежемороженных ягод</t>
  </si>
  <si>
    <t>444/505</t>
  </si>
  <si>
    <t>437/505</t>
  </si>
  <si>
    <t>Итого за 10 дней :</t>
  </si>
  <si>
    <t>Фрикадельки мясные "деревенские" в соусе красном</t>
  </si>
  <si>
    <t xml:space="preserve">Макароны отварные </t>
  </si>
  <si>
    <t>день1</t>
  </si>
  <si>
    <t xml:space="preserve">Обед </t>
  </si>
  <si>
    <t>день2</t>
  </si>
  <si>
    <t>Завтрак</t>
  </si>
  <si>
    <t>день3</t>
  </si>
  <si>
    <t>день 4</t>
  </si>
  <si>
    <t>день 5</t>
  </si>
  <si>
    <t>день 6</t>
  </si>
  <si>
    <t>день 7</t>
  </si>
  <si>
    <t>день 8</t>
  </si>
  <si>
    <t>день 9</t>
  </si>
  <si>
    <t>день10</t>
  </si>
  <si>
    <t xml:space="preserve">                         Завтрак</t>
  </si>
  <si>
    <t>50 % от суточной нормы</t>
  </si>
  <si>
    <t>Среднее значение завтрака и обеда  за период</t>
  </si>
  <si>
    <t>Среднее значение завтрака  за период</t>
  </si>
  <si>
    <t>Среднее значение  обеда  за период</t>
  </si>
  <si>
    <t xml:space="preserve">Суп с макаронными изделиями на м/к бульоне </t>
  </si>
  <si>
    <t xml:space="preserve">Плов с мясом </t>
  </si>
  <si>
    <t xml:space="preserve">Борщ с капустой,картофелем на м/к бульоне </t>
  </si>
  <si>
    <t>Рис отварной</t>
  </si>
  <si>
    <t>Котлеты рыбные с соусом</t>
  </si>
  <si>
    <t>Завтрак 20% от суточной нормы</t>
  </si>
  <si>
    <t>% откланение</t>
  </si>
  <si>
    <t>Завтрак 30% от суточной нормы</t>
  </si>
  <si>
    <t>200</t>
  </si>
  <si>
    <t>Каша молочная "Дружба"</t>
  </si>
  <si>
    <t>пр</t>
  </si>
  <si>
    <t>Свекольник</t>
  </si>
  <si>
    <t>Пюре гороховое</t>
  </si>
  <si>
    <t>429.1</t>
  </si>
  <si>
    <t>128/330</t>
  </si>
  <si>
    <t>377.1</t>
  </si>
  <si>
    <t xml:space="preserve">Кисель </t>
  </si>
  <si>
    <t>Булочка школьная/ Батон</t>
  </si>
  <si>
    <t>Суп-лапша на курином бульоне</t>
  </si>
  <si>
    <t>Котлеты мясные "по домашнему" в соусе красном</t>
  </si>
  <si>
    <t>274/505</t>
  </si>
  <si>
    <t xml:space="preserve">Чай с сахаром </t>
  </si>
  <si>
    <t>Масло сливочное порциями</t>
  </si>
  <si>
    <t>Булочка школьная</t>
  </si>
  <si>
    <t xml:space="preserve">Манты с соусом сметанным </t>
  </si>
  <si>
    <t>Крендель сахарный</t>
  </si>
  <si>
    <t>Меню приготавливаемых блюд  5 класс    СОШ № 32</t>
  </si>
  <si>
    <t>Сырники с молочным соусом</t>
  </si>
  <si>
    <t>200/50</t>
  </si>
  <si>
    <t>Сосиска отварная  с соусом</t>
  </si>
  <si>
    <t>Батон</t>
  </si>
  <si>
    <t>Плюшка московская/ Кондитерское изделия</t>
  </si>
  <si>
    <t>Сосиска отварная с соусом</t>
  </si>
  <si>
    <t>Сосиска  с соусом</t>
  </si>
  <si>
    <t>Картофельное пюре/ картофель с молоком</t>
  </si>
  <si>
    <t>Яблоко</t>
  </si>
  <si>
    <t>Батон с маслом</t>
  </si>
  <si>
    <t>Жаркое по- домашнему с мясом</t>
  </si>
  <si>
    <t xml:space="preserve">Суп картофельный с  рыбой </t>
  </si>
  <si>
    <t>280/422</t>
  </si>
  <si>
    <t>576/14</t>
  </si>
  <si>
    <t>127/128</t>
  </si>
  <si>
    <t>279/422</t>
  </si>
  <si>
    <t>243/422</t>
  </si>
  <si>
    <t>295/422</t>
  </si>
  <si>
    <t>234/422</t>
  </si>
  <si>
    <t>Меню приготавливаемых блюд  возрастная категория от 12 лет и старше ( двухразовое )</t>
  </si>
  <si>
    <t>Кондитерское изделия</t>
  </si>
  <si>
    <t>Икра кабачковая</t>
  </si>
  <si>
    <t>Салат из капусты</t>
  </si>
  <si>
    <t>Икра свекольная</t>
  </si>
  <si>
    <t>73.1</t>
  </si>
  <si>
    <t>+</t>
  </si>
  <si>
    <t xml:space="preserve">Пельмени отварные с молочным соусом </t>
  </si>
  <si>
    <t xml:space="preserve">391/327 </t>
  </si>
  <si>
    <t xml:space="preserve">Вареники с творогом соусом </t>
  </si>
  <si>
    <t xml:space="preserve">218/327 </t>
  </si>
  <si>
    <t>Сырники с соусом (в ассортименте)</t>
  </si>
  <si>
    <t>130/40</t>
  </si>
  <si>
    <t>Блины с (соусом  в ассортименте)</t>
  </si>
  <si>
    <t xml:space="preserve">Яблоко </t>
  </si>
  <si>
    <t>130</t>
  </si>
  <si>
    <t>Каша молочная Дружба</t>
  </si>
  <si>
    <t xml:space="preserve">Сосиска отварная  </t>
  </si>
  <si>
    <t xml:space="preserve">Омлет натуральный </t>
  </si>
  <si>
    <t>Щи из свежей капусты с картофелем на м/к бульоне со сметаной</t>
  </si>
  <si>
    <t>Манты с (соусом в ассортименте)</t>
  </si>
  <si>
    <t>Помидор солённый</t>
  </si>
  <si>
    <t>Огурец соленый</t>
  </si>
  <si>
    <t>Каша рисовая молочная с маслом сливочным</t>
  </si>
  <si>
    <t>Суп с клецками на м/к бульоне</t>
  </si>
  <si>
    <t>Рассольник  Ленинградский на м/к бульоне со сметаной</t>
  </si>
  <si>
    <t>Картофель тушеный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</si>
</sst>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15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51">
    <xf numFmtId="0" fontId="0" fillId="0" borderId="0" xfId="0"/>
    <xf numFmtId="164" fontId="2" fillId="0" borderId="3" xfId="0" applyNumberFormat="1" applyFont="1" applyFill="1" applyBorder="1" applyAlignment="1"/>
    <xf numFmtId="164" fontId="2" fillId="0" borderId="4" xfId="0" applyNumberFormat="1" applyFont="1" applyFill="1" applyBorder="1" applyAlignment="1"/>
    <xf numFmtId="164" fontId="2" fillId="0" borderId="5" xfId="0" applyNumberFormat="1" applyFont="1" applyFill="1" applyBorder="1" applyAlignment="1"/>
    <xf numFmtId="164" fontId="3" fillId="0" borderId="2" xfId="0" applyNumberFormat="1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/>
    </xf>
    <xf numFmtId="164" fontId="6" fillId="0" borderId="2" xfId="0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right"/>
    </xf>
    <xf numFmtId="1" fontId="3" fillId="0" borderId="2" xfId="0" applyNumberFormat="1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vertical="top" wrapText="1"/>
    </xf>
    <xf numFmtId="0" fontId="5" fillId="0" borderId="2" xfId="0" applyFont="1" applyFill="1" applyBorder="1" applyAlignment="1">
      <alignment vertical="center"/>
    </xf>
    <xf numFmtId="2" fontId="6" fillId="0" borderId="2" xfId="0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vertical="center" wrapText="1"/>
    </xf>
    <xf numFmtId="164" fontId="1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wrapText="1"/>
    </xf>
    <xf numFmtId="164" fontId="1" fillId="0" borderId="2" xfId="0" applyNumberFormat="1" applyFont="1" applyFill="1" applyBorder="1" applyAlignment="1">
      <alignment horizontal="center" vertical="top" wrapText="1"/>
    </xf>
    <xf numFmtId="0" fontId="7" fillId="0" borderId="2" xfId="0" applyNumberFormat="1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center" vertical="center"/>
    </xf>
    <xf numFmtId="2" fontId="3" fillId="0" borderId="2" xfId="0" applyNumberFormat="1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right" vertical="top" wrapText="1"/>
    </xf>
    <xf numFmtId="0" fontId="3" fillId="0" borderId="2" xfId="0" applyFont="1" applyFill="1" applyBorder="1" applyAlignment="1">
      <alignment horizontal="right" vertical="top" wrapText="1"/>
    </xf>
    <xf numFmtId="0" fontId="8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vertical="center" wrapText="1"/>
    </xf>
    <xf numFmtId="164" fontId="8" fillId="0" borderId="2" xfId="0" applyNumberFormat="1" applyFont="1" applyFill="1" applyBorder="1" applyAlignment="1">
      <alignment horizontal="center" vertical="center" wrapText="1"/>
    </xf>
    <xf numFmtId="0" fontId="10" fillId="0" borderId="0" xfId="0" applyFont="1" applyFill="1"/>
    <xf numFmtId="0" fontId="12" fillId="0" borderId="0" xfId="0" applyFont="1" applyFill="1" applyAlignment="1">
      <alignment horizontal="center"/>
    </xf>
    <xf numFmtId="0" fontId="12" fillId="0" borderId="0" xfId="0" applyFont="1" applyFill="1"/>
    <xf numFmtId="164" fontId="6" fillId="0" borderId="0" xfId="0" applyNumberFormat="1" applyFont="1" applyFill="1" applyAlignment="1">
      <alignment horizontal="center"/>
    </xf>
    <xf numFmtId="0" fontId="3" fillId="0" borderId="2" xfId="0" applyFont="1" applyFill="1" applyBorder="1" applyAlignment="1">
      <alignment vertical="top" wrapText="1"/>
    </xf>
    <xf numFmtId="0" fontId="11" fillId="0" borderId="0" xfId="0" applyFont="1" applyFill="1"/>
    <xf numFmtId="164" fontId="1" fillId="0" borderId="2" xfId="0" applyNumberFormat="1" applyFont="1" applyFill="1" applyBorder="1" applyAlignment="1">
      <alignment horizontal="center" vertical="center" wrapText="1"/>
    </xf>
    <xf numFmtId="2" fontId="5" fillId="0" borderId="2" xfId="0" applyNumberFormat="1" applyFont="1" applyFill="1" applyBorder="1" applyAlignment="1">
      <alignment horizontal="center" vertical="top" wrapText="1"/>
    </xf>
    <xf numFmtId="2" fontId="8" fillId="0" borderId="2" xfId="0" applyNumberFormat="1" applyFont="1" applyFill="1" applyBorder="1" applyAlignment="1"/>
    <xf numFmtId="2" fontId="9" fillId="0" borderId="0" xfId="0" applyNumberFormat="1" applyFont="1" applyFill="1"/>
    <xf numFmtId="164" fontId="1" fillId="0" borderId="2" xfId="0" applyNumberFormat="1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right" vertical="top" wrapText="1"/>
    </xf>
    <xf numFmtId="164" fontId="1" fillId="0" borderId="2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/>
    <xf numFmtId="0" fontId="5" fillId="0" borderId="2" xfId="0" applyFont="1" applyFill="1" applyBorder="1" applyAlignment="1">
      <alignment vertical="top" wrapText="1"/>
    </xf>
    <xf numFmtId="0" fontId="12" fillId="0" borderId="2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2" fontId="6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1" fontId="6" fillId="0" borderId="0" xfId="0" applyNumberFormat="1" applyFont="1" applyFill="1" applyAlignment="1">
      <alignment horizontal="center"/>
    </xf>
    <xf numFmtId="0" fontId="4" fillId="0" borderId="3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left" vertical="center" wrapText="1"/>
    </xf>
    <xf numFmtId="1" fontId="6" fillId="0" borderId="2" xfId="0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horizontal="left"/>
    </xf>
    <xf numFmtId="0" fontId="5" fillId="0" borderId="2" xfId="0" applyFont="1" applyFill="1" applyBorder="1" applyAlignment="1">
      <alignment wrapText="1"/>
    </xf>
    <xf numFmtId="164" fontId="6" fillId="0" borderId="0" xfId="0" applyNumberFormat="1" applyFont="1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center" vertical="top" wrapText="1"/>
    </xf>
    <xf numFmtId="2" fontId="9" fillId="0" borderId="0" xfId="0" applyNumberFormat="1" applyFont="1" applyFill="1" applyAlignment="1">
      <alignment horizontal="center"/>
    </xf>
    <xf numFmtId="2" fontId="8" fillId="0" borderId="2" xfId="0" applyNumberFormat="1" applyFont="1" applyFill="1" applyBorder="1" applyAlignment="1">
      <alignment horizontal="center"/>
    </xf>
    <xf numFmtId="2" fontId="6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center"/>
    </xf>
    <xf numFmtId="164" fontId="13" fillId="0" borderId="2" xfId="0" applyNumberFormat="1" applyFont="1" applyFill="1" applyBorder="1" applyAlignment="1">
      <alignment horizontal="center" vertical="top" wrapText="1"/>
    </xf>
    <xf numFmtId="164" fontId="10" fillId="0" borderId="0" xfId="0" applyNumberFormat="1" applyFont="1" applyFill="1"/>
    <xf numFmtId="10" fontId="9" fillId="0" borderId="2" xfId="0" applyNumberFormat="1" applyFont="1" applyFill="1" applyBorder="1" applyAlignment="1">
      <alignment horizontal="center"/>
    </xf>
    <xf numFmtId="165" fontId="8" fillId="0" borderId="2" xfId="0" applyNumberFormat="1" applyFont="1" applyFill="1" applyBorder="1" applyAlignment="1"/>
    <xf numFmtId="164" fontId="12" fillId="0" borderId="0" xfId="0" applyNumberFormat="1" applyFont="1" applyFill="1"/>
    <xf numFmtId="2" fontId="1" fillId="0" borderId="2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1" fontId="6" fillId="0" borderId="3" xfId="0" applyNumberFormat="1" applyFont="1" applyFill="1" applyBorder="1" applyAlignment="1">
      <alignment horizontal="center" vertical="center"/>
    </xf>
    <xf numFmtId="1" fontId="6" fillId="0" borderId="5" xfId="0" applyNumberFormat="1" applyFont="1" applyFill="1" applyBorder="1" applyAlignment="1">
      <alignment horizontal="center" vertical="center"/>
    </xf>
    <xf numFmtId="1" fontId="1" fillId="0" borderId="3" xfId="0" applyNumberFormat="1" applyFont="1" applyFill="1" applyBorder="1" applyAlignment="1">
      <alignment horizontal="center" vertical="center"/>
    </xf>
    <xf numFmtId="1" fontId="1" fillId="0" borderId="5" xfId="0" applyNumberFormat="1" applyFont="1" applyFill="1" applyBorder="1" applyAlignment="1">
      <alignment horizontal="center" vertical="center"/>
    </xf>
    <xf numFmtId="1" fontId="1" fillId="0" borderId="3" xfId="0" applyNumberFormat="1" applyFont="1" applyFill="1" applyBorder="1" applyAlignment="1">
      <alignment horizontal="center" vertical="top" wrapText="1"/>
    </xf>
    <xf numFmtId="1" fontId="1" fillId="0" borderId="5" xfId="0" applyNumberFormat="1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wrapText="1"/>
    </xf>
    <xf numFmtId="0" fontId="7" fillId="0" borderId="5" xfId="0" applyFont="1" applyFill="1" applyBorder="1" applyAlignment="1">
      <alignment horizontal="center" wrapText="1"/>
    </xf>
    <xf numFmtId="1" fontId="6" fillId="0" borderId="3" xfId="0" applyNumberFormat="1" applyFont="1" applyFill="1" applyBorder="1" applyAlignment="1">
      <alignment horizontal="center"/>
    </xf>
    <xf numFmtId="1" fontId="6" fillId="0" borderId="5" xfId="0" applyNumberFormat="1" applyFont="1" applyFill="1" applyBorder="1" applyAlignment="1">
      <alignment horizontal="center"/>
    </xf>
    <xf numFmtId="1" fontId="3" fillId="0" borderId="3" xfId="0" applyNumberFormat="1" applyFont="1" applyFill="1" applyBorder="1" applyAlignment="1">
      <alignment horizontal="center" vertical="top" wrapText="1"/>
    </xf>
    <xf numFmtId="1" fontId="3" fillId="0" borderId="5" xfId="0" applyNumberFormat="1" applyFont="1" applyFill="1" applyBorder="1" applyAlignment="1">
      <alignment horizontal="center" vertical="top" wrapText="1"/>
    </xf>
    <xf numFmtId="49" fontId="6" fillId="0" borderId="3" xfId="0" applyNumberFormat="1" applyFont="1" applyFill="1" applyBorder="1" applyAlignment="1">
      <alignment horizontal="center"/>
    </xf>
    <xf numFmtId="49" fontId="6" fillId="0" borderId="5" xfId="0" applyNumberFormat="1" applyFont="1" applyFill="1" applyBorder="1" applyAlignment="1">
      <alignment horizontal="center"/>
    </xf>
    <xf numFmtId="1" fontId="8" fillId="0" borderId="3" xfId="0" applyNumberFormat="1" applyFont="1" applyFill="1" applyBorder="1" applyAlignment="1">
      <alignment horizontal="center"/>
    </xf>
    <xf numFmtId="1" fontId="8" fillId="0" borderId="5" xfId="0" applyNumberFormat="1" applyFont="1" applyFill="1" applyBorder="1" applyAlignment="1">
      <alignment horizontal="center"/>
    </xf>
    <xf numFmtId="3" fontId="1" fillId="0" borderId="3" xfId="0" applyNumberFormat="1" applyFont="1" applyFill="1" applyBorder="1" applyAlignment="1">
      <alignment horizontal="center" vertical="top" wrapText="1"/>
    </xf>
    <xf numFmtId="3" fontId="1" fillId="0" borderId="5" xfId="0" applyNumberFormat="1" applyFont="1" applyFill="1" applyBorder="1" applyAlignment="1">
      <alignment horizontal="center" vertical="top" wrapText="1"/>
    </xf>
    <xf numFmtId="1" fontId="1" fillId="0" borderId="3" xfId="0" applyNumberFormat="1" applyFont="1" applyFill="1" applyBorder="1" applyAlignment="1">
      <alignment horizontal="center"/>
    </xf>
    <xf numFmtId="1" fontId="1" fillId="0" borderId="5" xfId="0" applyNumberFormat="1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1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1" fontId="1" fillId="0" borderId="9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top" wrapText="1"/>
    </xf>
    <xf numFmtId="164" fontId="3" fillId="0" borderId="4" xfId="0" applyNumberFormat="1" applyFont="1" applyFill="1" applyBorder="1" applyAlignment="1">
      <alignment horizontal="center" vertical="top" wrapText="1"/>
    </xf>
    <xf numFmtId="164" fontId="3" fillId="0" borderId="5" xfId="0" applyNumberFormat="1" applyFont="1" applyFill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center" vertical="top" wrapText="1"/>
    </xf>
    <xf numFmtId="164" fontId="1" fillId="0" borderId="6" xfId="0" applyNumberFormat="1" applyFont="1" applyFill="1" applyBorder="1" applyAlignment="1">
      <alignment horizontal="center" vertical="top" wrapText="1"/>
    </xf>
    <xf numFmtId="164" fontId="1" fillId="0" borderId="7" xfId="0" applyNumberFormat="1" applyFont="1" applyFill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6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6" fillId="0" borderId="3" xfId="0" applyNumberFormat="1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center" vertical="center"/>
    </xf>
    <xf numFmtId="1" fontId="1" fillId="0" borderId="3" xfId="0" applyNumberFormat="1" applyFont="1" applyFill="1" applyBorder="1" applyAlignment="1">
      <alignment horizontal="center" vertical="center" wrapText="1"/>
    </xf>
    <xf numFmtId="1" fontId="1" fillId="0" borderId="5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/>
    </xf>
    <xf numFmtId="3" fontId="8" fillId="0" borderId="3" xfId="0" applyNumberFormat="1" applyFont="1" applyFill="1" applyBorder="1" applyAlignment="1">
      <alignment horizontal="center"/>
    </xf>
    <xf numFmtId="0" fontId="6" fillId="0" borderId="3" xfId="0" applyNumberFormat="1" applyFont="1" applyFill="1" applyBorder="1" applyAlignment="1">
      <alignment horizontal="center"/>
    </xf>
    <xf numFmtId="3" fontId="1" fillId="0" borderId="3" xfId="0" applyNumberFormat="1" applyFont="1" applyFill="1" applyBorder="1" applyAlignment="1">
      <alignment horizontal="center" wrapText="1"/>
    </xf>
    <xf numFmtId="3" fontId="1" fillId="0" borderId="5" xfId="0" applyNumberFormat="1" applyFont="1" applyFill="1" applyBorder="1" applyAlignment="1">
      <alignment horizontal="center" wrapText="1"/>
    </xf>
    <xf numFmtId="49" fontId="1" fillId="0" borderId="3" xfId="0" applyNumberFormat="1" applyFont="1" applyFill="1" applyBorder="1" applyAlignment="1">
      <alignment horizontal="center" vertical="top" wrapText="1"/>
    </xf>
    <xf numFmtId="49" fontId="1" fillId="0" borderId="5" xfId="0" applyNumberFormat="1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1" fillId="0" borderId="3" xfId="0" applyNumberFormat="1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2" fontId="1" fillId="0" borderId="3" xfId="0" applyNumberFormat="1" applyFont="1" applyFill="1" applyBorder="1" applyAlignment="1">
      <alignment horizontal="center" vertical="top" wrapText="1"/>
    </xf>
    <xf numFmtId="2" fontId="1" fillId="0" borderId="5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101"/>
  <sheetViews>
    <sheetView workbookViewId="0">
      <selection activeCell="L13" sqref="L13"/>
    </sheetView>
  </sheetViews>
  <sheetFormatPr defaultRowHeight="15.75" x14ac:dyDescent="0.25"/>
  <cols>
    <col min="1" max="1" width="57.85546875" style="28" customWidth="1"/>
    <col min="2" max="2" width="10" style="28" customWidth="1"/>
    <col min="3" max="3" width="9" style="49" customWidth="1"/>
    <col min="4" max="4" width="9.7109375" style="31" customWidth="1"/>
    <col min="5" max="6" width="10.7109375" style="31" customWidth="1"/>
    <col min="7" max="7" width="13" style="31" customWidth="1"/>
    <col min="8" max="8" width="12.140625" style="48" customWidth="1"/>
    <col min="9" max="127" width="9.140625" style="28"/>
    <col min="128" max="128" width="7.85546875" style="28" customWidth="1"/>
    <col min="129" max="129" width="57.85546875" style="28" customWidth="1"/>
    <col min="130" max="130" width="10.140625" style="28" customWidth="1"/>
    <col min="131" max="131" width="12.28515625" style="28" customWidth="1"/>
    <col min="132" max="134" width="0" style="28" hidden="1" customWidth="1"/>
    <col min="135" max="135" width="9.7109375" style="28" customWidth="1"/>
    <col min="136" max="137" width="10.7109375" style="28" customWidth="1"/>
    <col min="138" max="138" width="11.85546875" style="28" customWidth="1"/>
    <col min="139" max="139" width="0" style="28" hidden="1" customWidth="1"/>
    <col min="140" max="140" width="9.140625" style="28" customWidth="1"/>
    <col min="141" max="141" width="8" style="28" customWidth="1"/>
    <col min="142" max="142" width="7.5703125" style="28" customWidth="1"/>
    <col min="143" max="143" width="9" style="28" customWidth="1"/>
    <col min="144" max="146" width="9.140625" style="28" customWidth="1"/>
    <col min="147" max="152" width="0" style="28" hidden="1" customWidth="1"/>
    <col min="153" max="383" width="9.140625" style="28"/>
    <col min="384" max="384" width="7.85546875" style="28" customWidth="1"/>
    <col min="385" max="385" width="57.85546875" style="28" customWidth="1"/>
    <col min="386" max="386" width="10.140625" style="28" customWidth="1"/>
    <col min="387" max="387" width="12.28515625" style="28" customWidth="1"/>
    <col min="388" max="390" width="0" style="28" hidden="1" customWidth="1"/>
    <col min="391" max="391" width="9.7109375" style="28" customWidth="1"/>
    <col min="392" max="393" width="10.7109375" style="28" customWidth="1"/>
    <col min="394" max="394" width="11.85546875" style="28" customWidth="1"/>
    <col min="395" max="395" width="0" style="28" hidden="1" customWidth="1"/>
    <col min="396" max="396" width="9.140625" style="28" customWidth="1"/>
    <col min="397" max="397" width="8" style="28" customWidth="1"/>
    <col min="398" max="398" width="7.5703125" style="28" customWidth="1"/>
    <col min="399" max="399" width="9" style="28" customWidth="1"/>
    <col min="400" max="402" width="9.140625" style="28" customWidth="1"/>
    <col min="403" max="408" width="0" style="28" hidden="1" customWidth="1"/>
    <col min="409" max="639" width="9.140625" style="28"/>
    <col min="640" max="640" width="7.85546875" style="28" customWidth="1"/>
    <col min="641" max="641" width="57.85546875" style="28" customWidth="1"/>
    <col min="642" max="642" width="10.140625" style="28" customWidth="1"/>
    <col min="643" max="643" width="12.28515625" style="28" customWidth="1"/>
    <col min="644" max="646" width="0" style="28" hidden="1" customWidth="1"/>
    <col min="647" max="647" width="9.7109375" style="28" customWidth="1"/>
    <col min="648" max="649" width="10.7109375" style="28" customWidth="1"/>
    <col min="650" max="650" width="11.85546875" style="28" customWidth="1"/>
    <col min="651" max="651" width="0" style="28" hidden="1" customWidth="1"/>
    <col min="652" max="652" width="9.140625" style="28" customWidth="1"/>
    <col min="653" max="653" width="8" style="28" customWidth="1"/>
    <col min="654" max="654" width="7.5703125" style="28" customWidth="1"/>
    <col min="655" max="655" width="9" style="28" customWidth="1"/>
    <col min="656" max="658" width="9.140625" style="28" customWidth="1"/>
    <col min="659" max="664" width="0" style="28" hidden="1" customWidth="1"/>
    <col min="665" max="895" width="9.140625" style="28"/>
    <col min="896" max="896" width="7.85546875" style="28" customWidth="1"/>
    <col min="897" max="897" width="57.85546875" style="28" customWidth="1"/>
    <col min="898" max="898" width="10.140625" style="28" customWidth="1"/>
    <col min="899" max="899" width="12.28515625" style="28" customWidth="1"/>
    <col min="900" max="902" width="0" style="28" hidden="1" customWidth="1"/>
    <col min="903" max="903" width="9.7109375" style="28" customWidth="1"/>
    <col min="904" max="905" width="10.7109375" style="28" customWidth="1"/>
    <col min="906" max="906" width="11.85546875" style="28" customWidth="1"/>
    <col min="907" max="907" width="0" style="28" hidden="1" customWidth="1"/>
    <col min="908" max="908" width="9.140625" style="28" customWidth="1"/>
    <col min="909" max="909" width="8" style="28" customWidth="1"/>
    <col min="910" max="910" width="7.5703125" style="28" customWidth="1"/>
    <col min="911" max="911" width="9" style="28" customWidth="1"/>
    <col min="912" max="914" width="9.140625" style="28" customWidth="1"/>
    <col min="915" max="920" width="0" style="28" hidden="1" customWidth="1"/>
    <col min="921" max="1151" width="9.140625" style="28"/>
    <col min="1152" max="1152" width="7.85546875" style="28" customWidth="1"/>
    <col min="1153" max="1153" width="57.85546875" style="28" customWidth="1"/>
    <col min="1154" max="1154" width="10.140625" style="28" customWidth="1"/>
    <col min="1155" max="1155" width="12.28515625" style="28" customWidth="1"/>
    <col min="1156" max="1158" width="0" style="28" hidden="1" customWidth="1"/>
    <col min="1159" max="1159" width="9.7109375" style="28" customWidth="1"/>
    <col min="1160" max="1161" width="10.7109375" style="28" customWidth="1"/>
    <col min="1162" max="1162" width="11.85546875" style="28" customWidth="1"/>
    <col min="1163" max="1163" width="0" style="28" hidden="1" customWidth="1"/>
    <col min="1164" max="1164" width="9.140625" style="28" customWidth="1"/>
    <col min="1165" max="1165" width="8" style="28" customWidth="1"/>
    <col min="1166" max="1166" width="7.5703125" style="28" customWidth="1"/>
    <col min="1167" max="1167" width="9" style="28" customWidth="1"/>
    <col min="1168" max="1170" width="9.140625" style="28" customWidth="1"/>
    <col min="1171" max="1176" width="0" style="28" hidden="1" customWidth="1"/>
    <col min="1177" max="1407" width="9.140625" style="28"/>
    <col min="1408" max="1408" width="7.85546875" style="28" customWidth="1"/>
    <col min="1409" max="1409" width="57.85546875" style="28" customWidth="1"/>
    <col min="1410" max="1410" width="10.140625" style="28" customWidth="1"/>
    <col min="1411" max="1411" width="12.28515625" style="28" customWidth="1"/>
    <col min="1412" max="1414" width="0" style="28" hidden="1" customWidth="1"/>
    <col min="1415" max="1415" width="9.7109375" style="28" customWidth="1"/>
    <col min="1416" max="1417" width="10.7109375" style="28" customWidth="1"/>
    <col min="1418" max="1418" width="11.85546875" style="28" customWidth="1"/>
    <col min="1419" max="1419" width="0" style="28" hidden="1" customWidth="1"/>
    <col min="1420" max="1420" width="9.140625" style="28" customWidth="1"/>
    <col min="1421" max="1421" width="8" style="28" customWidth="1"/>
    <col min="1422" max="1422" width="7.5703125" style="28" customWidth="1"/>
    <col min="1423" max="1423" width="9" style="28" customWidth="1"/>
    <col min="1424" max="1426" width="9.140625" style="28" customWidth="1"/>
    <col min="1427" max="1432" width="0" style="28" hidden="1" customWidth="1"/>
    <col min="1433" max="1663" width="9.140625" style="28"/>
    <col min="1664" max="1664" width="7.85546875" style="28" customWidth="1"/>
    <col min="1665" max="1665" width="57.85546875" style="28" customWidth="1"/>
    <col min="1666" max="1666" width="10.140625" style="28" customWidth="1"/>
    <col min="1667" max="1667" width="12.28515625" style="28" customWidth="1"/>
    <col min="1668" max="1670" width="0" style="28" hidden="1" customWidth="1"/>
    <col min="1671" max="1671" width="9.7109375" style="28" customWidth="1"/>
    <col min="1672" max="1673" width="10.7109375" style="28" customWidth="1"/>
    <col min="1674" max="1674" width="11.85546875" style="28" customWidth="1"/>
    <col min="1675" max="1675" width="0" style="28" hidden="1" customWidth="1"/>
    <col min="1676" max="1676" width="9.140625" style="28" customWidth="1"/>
    <col min="1677" max="1677" width="8" style="28" customWidth="1"/>
    <col min="1678" max="1678" width="7.5703125" style="28" customWidth="1"/>
    <col min="1679" max="1679" width="9" style="28" customWidth="1"/>
    <col min="1680" max="1682" width="9.140625" style="28" customWidth="1"/>
    <col min="1683" max="1688" width="0" style="28" hidden="1" customWidth="1"/>
    <col min="1689" max="1919" width="9.140625" style="28"/>
    <col min="1920" max="1920" width="7.85546875" style="28" customWidth="1"/>
    <col min="1921" max="1921" width="57.85546875" style="28" customWidth="1"/>
    <col min="1922" max="1922" width="10.140625" style="28" customWidth="1"/>
    <col min="1923" max="1923" width="12.28515625" style="28" customWidth="1"/>
    <col min="1924" max="1926" width="0" style="28" hidden="1" customWidth="1"/>
    <col min="1927" max="1927" width="9.7109375" style="28" customWidth="1"/>
    <col min="1928" max="1929" width="10.7109375" style="28" customWidth="1"/>
    <col min="1930" max="1930" width="11.85546875" style="28" customWidth="1"/>
    <col min="1931" max="1931" width="0" style="28" hidden="1" customWidth="1"/>
    <col min="1932" max="1932" width="9.140625" style="28" customWidth="1"/>
    <col min="1933" max="1933" width="8" style="28" customWidth="1"/>
    <col min="1934" max="1934" width="7.5703125" style="28" customWidth="1"/>
    <col min="1935" max="1935" width="9" style="28" customWidth="1"/>
    <col min="1936" max="1938" width="9.140625" style="28" customWidth="1"/>
    <col min="1939" max="1944" width="0" style="28" hidden="1" customWidth="1"/>
    <col min="1945" max="2175" width="9.140625" style="28"/>
    <col min="2176" max="2176" width="7.85546875" style="28" customWidth="1"/>
    <col min="2177" max="2177" width="57.85546875" style="28" customWidth="1"/>
    <col min="2178" max="2178" width="10.140625" style="28" customWidth="1"/>
    <col min="2179" max="2179" width="12.28515625" style="28" customWidth="1"/>
    <col min="2180" max="2182" width="0" style="28" hidden="1" customWidth="1"/>
    <col min="2183" max="2183" width="9.7109375" style="28" customWidth="1"/>
    <col min="2184" max="2185" width="10.7109375" style="28" customWidth="1"/>
    <col min="2186" max="2186" width="11.85546875" style="28" customWidth="1"/>
    <col min="2187" max="2187" width="0" style="28" hidden="1" customWidth="1"/>
    <col min="2188" max="2188" width="9.140625" style="28" customWidth="1"/>
    <col min="2189" max="2189" width="8" style="28" customWidth="1"/>
    <col min="2190" max="2190" width="7.5703125" style="28" customWidth="1"/>
    <col min="2191" max="2191" width="9" style="28" customWidth="1"/>
    <col min="2192" max="2194" width="9.140625" style="28" customWidth="1"/>
    <col min="2195" max="2200" width="0" style="28" hidden="1" customWidth="1"/>
    <col min="2201" max="2431" width="9.140625" style="28"/>
    <col min="2432" max="2432" width="7.85546875" style="28" customWidth="1"/>
    <col min="2433" max="2433" width="57.85546875" style="28" customWidth="1"/>
    <col min="2434" max="2434" width="10.140625" style="28" customWidth="1"/>
    <col min="2435" max="2435" width="12.28515625" style="28" customWidth="1"/>
    <col min="2436" max="2438" width="0" style="28" hidden="1" customWidth="1"/>
    <col min="2439" max="2439" width="9.7109375" style="28" customWidth="1"/>
    <col min="2440" max="2441" width="10.7109375" style="28" customWidth="1"/>
    <col min="2442" max="2442" width="11.85546875" style="28" customWidth="1"/>
    <col min="2443" max="2443" width="0" style="28" hidden="1" customWidth="1"/>
    <col min="2444" max="2444" width="9.140625" style="28" customWidth="1"/>
    <col min="2445" max="2445" width="8" style="28" customWidth="1"/>
    <col min="2446" max="2446" width="7.5703125" style="28" customWidth="1"/>
    <col min="2447" max="2447" width="9" style="28" customWidth="1"/>
    <col min="2448" max="2450" width="9.140625" style="28" customWidth="1"/>
    <col min="2451" max="2456" width="0" style="28" hidden="1" customWidth="1"/>
    <col min="2457" max="2687" width="9.140625" style="28"/>
    <col min="2688" max="2688" width="7.85546875" style="28" customWidth="1"/>
    <col min="2689" max="2689" width="57.85546875" style="28" customWidth="1"/>
    <col min="2690" max="2690" width="10.140625" style="28" customWidth="1"/>
    <col min="2691" max="2691" width="12.28515625" style="28" customWidth="1"/>
    <col min="2692" max="2694" width="0" style="28" hidden="1" customWidth="1"/>
    <col min="2695" max="2695" width="9.7109375" style="28" customWidth="1"/>
    <col min="2696" max="2697" width="10.7109375" style="28" customWidth="1"/>
    <col min="2698" max="2698" width="11.85546875" style="28" customWidth="1"/>
    <col min="2699" max="2699" width="0" style="28" hidden="1" customWidth="1"/>
    <col min="2700" max="2700" width="9.140625" style="28" customWidth="1"/>
    <col min="2701" max="2701" width="8" style="28" customWidth="1"/>
    <col min="2702" max="2702" width="7.5703125" style="28" customWidth="1"/>
    <col min="2703" max="2703" width="9" style="28" customWidth="1"/>
    <col min="2704" max="2706" width="9.140625" style="28" customWidth="1"/>
    <col min="2707" max="2712" width="0" style="28" hidden="1" customWidth="1"/>
    <col min="2713" max="2943" width="9.140625" style="28"/>
    <col min="2944" max="2944" width="7.85546875" style="28" customWidth="1"/>
    <col min="2945" max="2945" width="57.85546875" style="28" customWidth="1"/>
    <col min="2946" max="2946" width="10.140625" style="28" customWidth="1"/>
    <col min="2947" max="2947" width="12.28515625" style="28" customWidth="1"/>
    <col min="2948" max="2950" width="0" style="28" hidden="1" customWidth="1"/>
    <col min="2951" max="2951" width="9.7109375" style="28" customWidth="1"/>
    <col min="2952" max="2953" width="10.7109375" style="28" customWidth="1"/>
    <col min="2954" max="2954" width="11.85546875" style="28" customWidth="1"/>
    <col min="2955" max="2955" width="0" style="28" hidden="1" customWidth="1"/>
    <col min="2956" max="2956" width="9.140625" style="28" customWidth="1"/>
    <col min="2957" max="2957" width="8" style="28" customWidth="1"/>
    <col min="2958" max="2958" width="7.5703125" style="28" customWidth="1"/>
    <col min="2959" max="2959" width="9" style="28" customWidth="1"/>
    <col min="2960" max="2962" width="9.140625" style="28" customWidth="1"/>
    <col min="2963" max="2968" width="0" style="28" hidden="1" customWidth="1"/>
    <col min="2969" max="3199" width="9.140625" style="28"/>
    <col min="3200" max="3200" width="7.85546875" style="28" customWidth="1"/>
    <col min="3201" max="3201" width="57.85546875" style="28" customWidth="1"/>
    <col min="3202" max="3202" width="10.140625" style="28" customWidth="1"/>
    <col min="3203" max="3203" width="12.28515625" style="28" customWidth="1"/>
    <col min="3204" max="3206" width="0" style="28" hidden="1" customWidth="1"/>
    <col min="3207" max="3207" width="9.7109375" style="28" customWidth="1"/>
    <col min="3208" max="3209" width="10.7109375" style="28" customWidth="1"/>
    <col min="3210" max="3210" width="11.85546875" style="28" customWidth="1"/>
    <col min="3211" max="3211" width="0" style="28" hidden="1" customWidth="1"/>
    <col min="3212" max="3212" width="9.140625" style="28" customWidth="1"/>
    <col min="3213" max="3213" width="8" style="28" customWidth="1"/>
    <col min="3214" max="3214" width="7.5703125" style="28" customWidth="1"/>
    <col min="3215" max="3215" width="9" style="28" customWidth="1"/>
    <col min="3216" max="3218" width="9.140625" style="28" customWidth="1"/>
    <col min="3219" max="3224" width="0" style="28" hidden="1" customWidth="1"/>
    <col min="3225" max="3455" width="9.140625" style="28"/>
    <col min="3456" max="3456" width="7.85546875" style="28" customWidth="1"/>
    <col min="3457" max="3457" width="57.85546875" style="28" customWidth="1"/>
    <col min="3458" max="3458" width="10.140625" style="28" customWidth="1"/>
    <col min="3459" max="3459" width="12.28515625" style="28" customWidth="1"/>
    <col min="3460" max="3462" width="0" style="28" hidden="1" customWidth="1"/>
    <col min="3463" max="3463" width="9.7109375" style="28" customWidth="1"/>
    <col min="3464" max="3465" width="10.7109375" style="28" customWidth="1"/>
    <col min="3466" max="3466" width="11.85546875" style="28" customWidth="1"/>
    <col min="3467" max="3467" width="0" style="28" hidden="1" customWidth="1"/>
    <col min="3468" max="3468" width="9.140625" style="28" customWidth="1"/>
    <col min="3469" max="3469" width="8" style="28" customWidth="1"/>
    <col min="3470" max="3470" width="7.5703125" style="28" customWidth="1"/>
    <col min="3471" max="3471" width="9" style="28" customWidth="1"/>
    <col min="3472" max="3474" width="9.140625" style="28" customWidth="1"/>
    <col min="3475" max="3480" width="0" style="28" hidden="1" customWidth="1"/>
    <col min="3481" max="3711" width="9.140625" style="28"/>
    <col min="3712" max="3712" width="7.85546875" style="28" customWidth="1"/>
    <col min="3713" max="3713" width="57.85546875" style="28" customWidth="1"/>
    <col min="3714" max="3714" width="10.140625" style="28" customWidth="1"/>
    <col min="3715" max="3715" width="12.28515625" style="28" customWidth="1"/>
    <col min="3716" max="3718" width="0" style="28" hidden="1" customWidth="1"/>
    <col min="3719" max="3719" width="9.7109375" style="28" customWidth="1"/>
    <col min="3720" max="3721" width="10.7109375" style="28" customWidth="1"/>
    <col min="3722" max="3722" width="11.85546875" style="28" customWidth="1"/>
    <col min="3723" max="3723" width="0" style="28" hidden="1" customWidth="1"/>
    <col min="3724" max="3724" width="9.140625" style="28" customWidth="1"/>
    <col min="3725" max="3725" width="8" style="28" customWidth="1"/>
    <col min="3726" max="3726" width="7.5703125" style="28" customWidth="1"/>
    <col min="3727" max="3727" width="9" style="28" customWidth="1"/>
    <col min="3728" max="3730" width="9.140625" style="28" customWidth="1"/>
    <col min="3731" max="3736" width="0" style="28" hidden="1" customWidth="1"/>
    <col min="3737" max="3967" width="9.140625" style="28"/>
    <col min="3968" max="3968" width="7.85546875" style="28" customWidth="1"/>
    <col min="3969" max="3969" width="57.85546875" style="28" customWidth="1"/>
    <col min="3970" max="3970" width="10.140625" style="28" customWidth="1"/>
    <col min="3971" max="3971" width="12.28515625" style="28" customWidth="1"/>
    <col min="3972" max="3974" width="0" style="28" hidden="1" customWidth="1"/>
    <col min="3975" max="3975" width="9.7109375" style="28" customWidth="1"/>
    <col min="3976" max="3977" width="10.7109375" style="28" customWidth="1"/>
    <col min="3978" max="3978" width="11.85546875" style="28" customWidth="1"/>
    <col min="3979" max="3979" width="0" style="28" hidden="1" customWidth="1"/>
    <col min="3980" max="3980" width="9.140625" style="28" customWidth="1"/>
    <col min="3981" max="3981" width="8" style="28" customWidth="1"/>
    <col min="3982" max="3982" width="7.5703125" style="28" customWidth="1"/>
    <col min="3983" max="3983" width="9" style="28" customWidth="1"/>
    <col min="3984" max="3986" width="9.140625" style="28" customWidth="1"/>
    <col min="3987" max="3992" width="0" style="28" hidden="1" customWidth="1"/>
    <col min="3993" max="4223" width="9.140625" style="28"/>
    <col min="4224" max="4224" width="7.85546875" style="28" customWidth="1"/>
    <col min="4225" max="4225" width="57.85546875" style="28" customWidth="1"/>
    <col min="4226" max="4226" width="10.140625" style="28" customWidth="1"/>
    <col min="4227" max="4227" width="12.28515625" style="28" customWidth="1"/>
    <col min="4228" max="4230" width="0" style="28" hidden="1" customWidth="1"/>
    <col min="4231" max="4231" width="9.7109375" style="28" customWidth="1"/>
    <col min="4232" max="4233" width="10.7109375" style="28" customWidth="1"/>
    <col min="4234" max="4234" width="11.85546875" style="28" customWidth="1"/>
    <col min="4235" max="4235" width="0" style="28" hidden="1" customWidth="1"/>
    <col min="4236" max="4236" width="9.140625" style="28" customWidth="1"/>
    <col min="4237" max="4237" width="8" style="28" customWidth="1"/>
    <col min="4238" max="4238" width="7.5703125" style="28" customWidth="1"/>
    <col min="4239" max="4239" width="9" style="28" customWidth="1"/>
    <col min="4240" max="4242" width="9.140625" style="28" customWidth="1"/>
    <col min="4243" max="4248" width="0" style="28" hidden="1" customWidth="1"/>
    <col min="4249" max="4479" width="9.140625" style="28"/>
    <col min="4480" max="4480" width="7.85546875" style="28" customWidth="1"/>
    <col min="4481" max="4481" width="57.85546875" style="28" customWidth="1"/>
    <col min="4482" max="4482" width="10.140625" style="28" customWidth="1"/>
    <col min="4483" max="4483" width="12.28515625" style="28" customWidth="1"/>
    <col min="4484" max="4486" width="0" style="28" hidden="1" customWidth="1"/>
    <col min="4487" max="4487" width="9.7109375" style="28" customWidth="1"/>
    <col min="4488" max="4489" width="10.7109375" style="28" customWidth="1"/>
    <col min="4490" max="4490" width="11.85546875" style="28" customWidth="1"/>
    <col min="4491" max="4491" width="0" style="28" hidden="1" customWidth="1"/>
    <col min="4492" max="4492" width="9.140625" style="28" customWidth="1"/>
    <col min="4493" max="4493" width="8" style="28" customWidth="1"/>
    <col min="4494" max="4494" width="7.5703125" style="28" customWidth="1"/>
    <col min="4495" max="4495" width="9" style="28" customWidth="1"/>
    <col min="4496" max="4498" width="9.140625" style="28" customWidth="1"/>
    <col min="4499" max="4504" width="0" style="28" hidden="1" customWidth="1"/>
    <col min="4505" max="4735" width="9.140625" style="28"/>
    <col min="4736" max="4736" width="7.85546875" style="28" customWidth="1"/>
    <col min="4737" max="4737" width="57.85546875" style="28" customWidth="1"/>
    <col min="4738" max="4738" width="10.140625" style="28" customWidth="1"/>
    <col min="4739" max="4739" width="12.28515625" style="28" customWidth="1"/>
    <col min="4740" max="4742" width="0" style="28" hidden="1" customWidth="1"/>
    <col min="4743" max="4743" width="9.7109375" style="28" customWidth="1"/>
    <col min="4744" max="4745" width="10.7109375" style="28" customWidth="1"/>
    <col min="4746" max="4746" width="11.85546875" style="28" customWidth="1"/>
    <col min="4747" max="4747" width="0" style="28" hidden="1" customWidth="1"/>
    <col min="4748" max="4748" width="9.140625" style="28" customWidth="1"/>
    <col min="4749" max="4749" width="8" style="28" customWidth="1"/>
    <col min="4750" max="4750" width="7.5703125" style="28" customWidth="1"/>
    <col min="4751" max="4751" width="9" style="28" customWidth="1"/>
    <col min="4752" max="4754" width="9.140625" style="28" customWidth="1"/>
    <col min="4755" max="4760" width="0" style="28" hidden="1" customWidth="1"/>
    <col min="4761" max="4991" width="9.140625" style="28"/>
    <col min="4992" max="4992" width="7.85546875" style="28" customWidth="1"/>
    <col min="4993" max="4993" width="57.85546875" style="28" customWidth="1"/>
    <col min="4994" max="4994" width="10.140625" style="28" customWidth="1"/>
    <col min="4995" max="4995" width="12.28515625" style="28" customWidth="1"/>
    <col min="4996" max="4998" width="0" style="28" hidden="1" customWidth="1"/>
    <col min="4999" max="4999" width="9.7109375" style="28" customWidth="1"/>
    <col min="5000" max="5001" width="10.7109375" style="28" customWidth="1"/>
    <col min="5002" max="5002" width="11.85546875" style="28" customWidth="1"/>
    <col min="5003" max="5003" width="0" style="28" hidden="1" customWidth="1"/>
    <col min="5004" max="5004" width="9.140625" style="28" customWidth="1"/>
    <col min="5005" max="5005" width="8" style="28" customWidth="1"/>
    <col min="5006" max="5006" width="7.5703125" style="28" customWidth="1"/>
    <col min="5007" max="5007" width="9" style="28" customWidth="1"/>
    <col min="5008" max="5010" width="9.140625" style="28" customWidth="1"/>
    <col min="5011" max="5016" width="0" style="28" hidden="1" customWidth="1"/>
    <col min="5017" max="5247" width="9.140625" style="28"/>
    <col min="5248" max="5248" width="7.85546875" style="28" customWidth="1"/>
    <col min="5249" max="5249" width="57.85546875" style="28" customWidth="1"/>
    <col min="5250" max="5250" width="10.140625" style="28" customWidth="1"/>
    <col min="5251" max="5251" width="12.28515625" style="28" customWidth="1"/>
    <col min="5252" max="5254" width="0" style="28" hidden="1" customWidth="1"/>
    <col min="5255" max="5255" width="9.7109375" style="28" customWidth="1"/>
    <col min="5256" max="5257" width="10.7109375" style="28" customWidth="1"/>
    <col min="5258" max="5258" width="11.85546875" style="28" customWidth="1"/>
    <col min="5259" max="5259" width="0" style="28" hidden="1" customWidth="1"/>
    <col min="5260" max="5260" width="9.140625" style="28" customWidth="1"/>
    <col min="5261" max="5261" width="8" style="28" customWidth="1"/>
    <col min="5262" max="5262" width="7.5703125" style="28" customWidth="1"/>
    <col min="5263" max="5263" width="9" style="28" customWidth="1"/>
    <col min="5264" max="5266" width="9.140625" style="28" customWidth="1"/>
    <col min="5267" max="5272" width="0" style="28" hidden="1" customWidth="1"/>
    <col min="5273" max="5503" width="9.140625" style="28"/>
    <col min="5504" max="5504" width="7.85546875" style="28" customWidth="1"/>
    <col min="5505" max="5505" width="57.85546875" style="28" customWidth="1"/>
    <col min="5506" max="5506" width="10.140625" style="28" customWidth="1"/>
    <col min="5507" max="5507" width="12.28515625" style="28" customWidth="1"/>
    <col min="5508" max="5510" width="0" style="28" hidden="1" customWidth="1"/>
    <col min="5511" max="5511" width="9.7109375" style="28" customWidth="1"/>
    <col min="5512" max="5513" width="10.7109375" style="28" customWidth="1"/>
    <col min="5514" max="5514" width="11.85546875" style="28" customWidth="1"/>
    <col min="5515" max="5515" width="0" style="28" hidden="1" customWidth="1"/>
    <col min="5516" max="5516" width="9.140625" style="28" customWidth="1"/>
    <col min="5517" max="5517" width="8" style="28" customWidth="1"/>
    <col min="5518" max="5518" width="7.5703125" style="28" customWidth="1"/>
    <col min="5519" max="5519" width="9" style="28" customWidth="1"/>
    <col min="5520" max="5522" width="9.140625" style="28" customWidth="1"/>
    <col min="5523" max="5528" width="0" style="28" hidden="1" customWidth="1"/>
    <col min="5529" max="5759" width="9.140625" style="28"/>
    <col min="5760" max="5760" width="7.85546875" style="28" customWidth="1"/>
    <col min="5761" max="5761" width="57.85546875" style="28" customWidth="1"/>
    <col min="5762" max="5762" width="10.140625" style="28" customWidth="1"/>
    <col min="5763" max="5763" width="12.28515625" style="28" customWidth="1"/>
    <col min="5764" max="5766" width="0" style="28" hidden="1" customWidth="1"/>
    <col min="5767" max="5767" width="9.7109375" style="28" customWidth="1"/>
    <col min="5768" max="5769" width="10.7109375" style="28" customWidth="1"/>
    <col min="5770" max="5770" width="11.85546875" style="28" customWidth="1"/>
    <col min="5771" max="5771" width="0" style="28" hidden="1" customWidth="1"/>
    <col min="5772" max="5772" width="9.140625" style="28" customWidth="1"/>
    <col min="5773" max="5773" width="8" style="28" customWidth="1"/>
    <col min="5774" max="5774" width="7.5703125" style="28" customWidth="1"/>
    <col min="5775" max="5775" width="9" style="28" customWidth="1"/>
    <col min="5776" max="5778" width="9.140625" style="28" customWidth="1"/>
    <col min="5779" max="5784" width="0" style="28" hidden="1" customWidth="1"/>
    <col min="5785" max="6015" width="9.140625" style="28"/>
    <col min="6016" max="6016" width="7.85546875" style="28" customWidth="1"/>
    <col min="6017" max="6017" width="57.85546875" style="28" customWidth="1"/>
    <col min="6018" max="6018" width="10.140625" style="28" customWidth="1"/>
    <col min="6019" max="6019" width="12.28515625" style="28" customWidth="1"/>
    <col min="6020" max="6022" width="0" style="28" hidden="1" customWidth="1"/>
    <col min="6023" max="6023" width="9.7109375" style="28" customWidth="1"/>
    <col min="6024" max="6025" width="10.7109375" style="28" customWidth="1"/>
    <col min="6026" max="6026" width="11.85546875" style="28" customWidth="1"/>
    <col min="6027" max="6027" width="0" style="28" hidden="1" customWidth="1"/>
    <col min="6028" max="6028" width="9.140625" style="28" customWidth="1"/>
    <col min="6029" max="6029" width="8" style="28" customWidth="1"/>
    <col min="6030" max="6030" width="7.5703125" style="28" customWidth="1"/>
    <col min="6031" max="6031" width="9" style="28" customWidth="1"/>
    <col min="6032" max="6034" width="9.140625" style="28" customWidth="1"/>
    <col min="6035" max="6040" width="0" style="28" hidden="1" customWidth="1"/>
    <col min="6041" max="6271" width="9.140625" style="28"/>
    <col min="6272" max="6272" width="7.85546875" style="28" customWidth="1"/>
    <col min="6273" max="6273" width="57.85546875" style="28" customWidth="1"/>
    <col min="6274" max="6274" width="10.140625" style="28" customWidth="1"/>
    <col min="6275" max="6275" width="12.28515625" style="28" customWidth="1"/>
    <col min="6276" max="6278" width="0" style="28" hidden="1" customWidth="1"/>
    <col min="6279" max="6279" width="9.7109375" style="28" customWidth="1"/>
    <col min="6280" max="6281" width="10.7109375" style="28" customWidth="1"/>
    <col min="6282" max="6282" width="11.85546875" style="28" customWidth="1"/>
    <col min="6283" max="6283" width="0" style="28" hidden="1" customWidth="1"/>
    <col min="6284" max="6284" width="9.140625" style="28" customWidth="1"/>
    <col min="6285" max="6285" width="8" style="28" customWidth="1"/>
    <col min="6286" max="6286" width="7.5703125" style="28" customWidth="1"/>
    <col min="6287" max="6287" width="9" style="28" customWidth="1"/>
    <col min="6288" max="6290" width="9.140625" style="28" customWidth="1"/>
    <col min="6291" max="6296" width="0" style="28" hidden="1" customWidth="1"/>
    <col min="6297" max="6527" width="9.140625" style="28"/>
    <col min="6528" max="6528" width="7.85546875" style="28" customWidth="1"/>
    <col min="6529" max="6529" width="57.85546875" style="28" customWidth="1"/>
    <col min="6530" max="6530" width="10.140625" style="28" customWidth="1"/>
    <col min="6531" max="6531" width="12.28515625" style="28" customWidth="1"/>
    <col min="6532" max="6534" width="0" style="28" hidden="1" customWidth="1"/>
    <col min="6535" max="6535" width="9.7109375" style="28" customWidth="1"/>
    <col min="6536" max="6537" width="10.7109375" style="28" customWidth="1"/>
    <col min="6538" max="6538" width="11.85546875" style="28" customWidth="1"/>
    <col min="6539" max="6539" width="0" style="28" hidden="1" customWidth="1"/>
    <col min="6540" max="6540" width="9.140625" style="28" customWidth="1"/>
    <col min="6541" max="6541" width="8" style="28" customWidth="1"/>
    <col min="6542" max="6542" width="7.5703125" style="28" customWidth="1"/>
    <col min="6543" max="6543" width="9" style="28" customWidth="1"/>
    <col min="6544" max="6546" width="9.140625" style="28" customWidth="1"/>
    <col min="6547" max="6552" width="0" style="28" hidden="1" customWidth="1"/>
    <col min="6553" max="6783" width="9.140625" style="28"/>
    <col min="6784" max="6784" width="7.85546875" style="28" customWidth="1"/>
    <col min="6785" max="6785" width="57.85546875" style="28" customWidth="1"/>
    <col min="6786" max="6786" width="10.140625" style="28" customWidth="1"/>
    <col min="6787" max="6787" width="12.28515625" style="28" customWidth="1"/>
    <col min="6788" max="6790" width="0" style="28" hidden="1" customWidth="1"/>
    <col min="6791" max="6791" width="9.7109375" style="28" customWidth="1"/>
    <col min="6792" max="6793" width="10.7109375" style="28" customWidth="1"/>
    <col min="6794" max="6794" width="11.85546875" style="28" customWidth="1"/>
    <col min="6795" max="6795" width="0" style="28" hidden="1" customWidth="1"/>
    <col min="6796" max="6796" width="9.140625" style="28" customWidth="1"/>
    <col min="6797" max="6797" width="8" style="28" customWidth="1"/>
    <col min="6798" max="6798" width="7.5703125" style="28" customWidth="1"/>
    <col min="6799" max="6799" width="9" style="28" customWidth="1"/>
    <col min="6800" max="6802" width="9.140625" style="28" customWidth="1"/>
    <col min="6803" max="6808" width="0" style="28" hidden="1" customWidth="1"/>
    <col min="6809" max="7039" width="9.140625" style="28"/>
    <col min="7040" max="7040" width="7.85546875" style="28" customWidth="1"/>
    <col min="7041" max="7041" width="57.85546875" style="28" customWidth="1"/>
    <col min="7042" max="7042" width="10.140625" style="28" customWidth="1"/>
    <col min="7043" max="7043" width="12.28515625" style="28" customWidth="1"/>
    <col min="7044" max="7046" width="0" style="28" hidden="1" customWidth="1"/>
    <col min="7047" max="7047" width="9.7109375" style="28" customWidth="1"/>
    <col min="7048" max="7049" width="10.7109375" style="28" customWidth="1"/>
    <col min="7050" max="7050" width="11.85546875" style="28" customWidth="1"/>
    <col min="7051" max="7051" width="0" style="28" hidden="1" customWidth="1"/>
    <col min="7052" max="7052" width="9.140625" style="28" customWidth="1"/>
    <col min="7053" max="7053" width="8" style="28" customWidth="1"/>
    <col min="7054" max="7054" width="7.5703125" style="28" customWidth="1"/>
    <col min="7055" max="7055" width="9" style="28" customWidth="1"/>
    <col min="7056" max="7058" width="9.140625" style="28" customWidth="1"/>
    <col min="7059" max="7064" width="0" style="28" hidden="1" customWidth="1"/>
    <col min="7065" max="7295" width="9.140625" style="28"/>
    <col min="7296" max="7296" width="7.85546875" style="28" customWidth="1"/>
    <col min="7297" max="7297" width="57.85546875" style="28" customWidth="1"/>
    <col min="7298" max="7298" width="10.140625" style="28" customWidth="1"/>
    <col min="7299" max="7299" width="12.28515625" style="28" customWidth="1"/>
    <col min="7300" max="7302" width="0" style="28" hidden="1" customWidth="1"/>
    <col min="7303" max="7303" width="9.7109375" style="28" customWidth="1"/>
    <col min="7304" max="7305" width="10.7109375" style="28" customWidth="1"/>
    <col min="7306" max="7306" width="11.85546875" style="28" customWidth="1"/>
    <col min="7307" max="7307" width="0" style="28" hidden="1" customWidth="1"/>
    <col min="7308" max="7308" width="9.140625" style="28" customWidth="1"/>
    <col min="7309" max="7309" width="8" style="28" customWidth="1"/>
    <col min="7310" max="7310" width="7.5703125" style="28" customWidth="1"/>
    <col min="7311" max="7311" width="9" style="28" customWidth="1"/>
    <col min="7312" max="7314" width="9.140625" style="28" customWidth="1"/>
    <col min="7315" max="7320" width="0" style="28" hidden="1" customWidth="1"/>
    <col min="7321" max="7551" width="9.140625" style="28"/>
    <col min="7552" max="7552" width="7.85546875" style="28" customWidth="1"/>
    <col min="7553" max="7553" width="57.85546875" style="28" customWidth="1"/>
    <col min="7554" max="7554" width="10.140625" style="28" customWidth="1"/>
    <col min="7555" max="7555" width="12.28515625" style="28" customWidth="1"/>
    <col min="7556" max="7558" width="0" style="28" hidden="1" customWidth="1"/>
    <col min="7559" max="7559" width="9.7109375" style="28" customWidth="1"/>
    <col min="7560" max="7561" width="10.7109375" style="28" customWidth="1"/>
    <col min="7562" max="7562" width="11.85546875" style="28" customWidth="1"/>
    <col min="7563" max="7563" width="0" style="28" hidden="1" customWidth="1"/>
    <col min="7564" max="7564" width="9.140625" style="28" customWidth="1"/>
    <col min="7565" max="7565" width="8" style="28" customWidth="1"/>
    <col min="7566" max="7566" width="7.5703125" style="28" customWidth="1"/>
    <col min="7567" max="7567" width="9" style="28" customWidth="1"/>
    <col min="7568" max="7570" width="9.140625" style="28" customWidth="1"/>
    <col min="7571" max="7576" width="0" style="28" hidden="1" customWidth="1"/>
    <col min="7577" max="7807" width="9.140625" style="28"/>
    <col min="7808" max="7808" width="7.85546875" style="28" customWidth="1"/>
    <col min="7809" max="7809" width="57.85546875" style="28" customWidth="1"/>
    <col min="7810" max="7810" width="10.140625" style="28" customWidth="1"/>
    <col min="7811" max="7811" width="12.28515625" style="28" customWidth="1"/>
    <col min="7812" max="7814" width="0" style="28" hidden="1" customWidth="1"/>
    <col min="7815" max="7815" width="9.7109375" style="28" customWidth="1"/>
    <col min="7816" max="7817" width="10.7109375" style="28" customWidth="1"/>
    <col min="7818" max="7818" width="11.85546875" style="28" customWidth="1"/>
    <col min="7819" max="7819" width="0" style="28" hidden="1" customWidth="1"/>
    <col min="7820" max="7820" width="9.140625" style="28" customWidth="1"/>
    <col min="7821" max="7821" width="8" style="28" customWidth="1"/>
    <col min="7822" max="7822" width="7.5703125" style="28" customWidth="1"/>
    <col min="7823" max="7823" width="9" style="28" customWidth="1"/>
    <col min="7824" max="7826" width="9.140625" style="28" customWidth="1"/>
    <col min="7827" max="7832" width="0" style="28" hidden="1" customWidth="1"/>
    <col min="7833" max="8063" width="9.140625" style="28"/>
    <col min="8064" max="8064" width="7.85546875" style="28" customWidth="1"/>
    <col min="8065" max="8065" width="57.85546875" style="28" customWidth="1"/>
    <col min="8066" max="8066" width="10.140625" style="28" customWidth="1"/>
    <col min="8067" max="8067" width="12.28515625" style="28" customWidth="1"/>
    <col min="8068" max="8070" width="0" style="28" hidden="1" customWidth="1"/>
    <col min="8071" max="8071" width="9.7109375" style="28" customWidth="1"/>
    <col min="8072" max="8073" width="10.7109375" style="28" customWidth="1"/>
    <col min="8074" max="8074" width="11.85546875" style="28" customWidth="1"/>
    <col min="8075" max="8075" width="0" style="28" hidden="1" customWidth="1"/>
    <col min="8076" max="8076" width="9.140625" style="28" customWidth="1"/>
    <col min="8077" max="8077" width="8" style="28" customWidth="1"/>
    <col min="8078" max="8078" width="7.5703125" style="28" customWidth="1"/>
    <col min="8079" max="8079" width="9" style="28" customWidth="1"/>
    <col min="8080" max="8082" width="9.140625" style="28" customWidth="1"/>
    <col min="8083" max="8088" width="0" style="28" hidden="1" customWidth="1"/>
    <col min="8089" max="8319" width="9.140625" style="28"/>
    <col min="8320" max="8320" width="7.85546875" style="28" customWidth="1"/>
    <col min="8321" max="8321" width="57.85546875" style="28" customWidth="1"/>
    <col min="8322" max="8322" width="10.140625" style="28" customWidth="1"/>
    <col min="8323" max="8323" width="12.28515625" style="28" customWidth="1"/>
    <col min="8324" max="8326" width="0" style="28" hidden="1" customWidth="1"/>
    <col min="8327" max="8327" width="9.7109375" style="28" customWidth="1"/>
    <col min="8328" max="8329" width="10.7109375" style="28" customWidth="1"/>
    <col min="8330" max="8330" width="11.85546875" style="28" customWidth="1"/>
    <col min="8331" max="8331" width="0" style="28" hidden="1" customWidth="1"/>
    <col min="8332" max="8332" width="9.140625" style="28" customWidth="1"/>
    <col min="8333" max="8333" width="8" style="28" customWidth="1"/>
    <col min="8334" max="8334" width="7.5703125" style="28" customWidth="1"/>
    <col min="8335" max="8335" width="9" style="28" customWidth="1"/>
    <col min="8336" max="8338" width="9.140625" style="28" customWidth="1"/>
    <col min="8339" max="8344" width="0" style="28" hidden="1" customWidth="1"/>
    <col min="8345" max="8575" width="9.140625" style="28"/>
    <col min="8576" max="8576" width="7.85546875" style="28" customWidth="1"/>
    <col min="8577" max="8577" width="57.85546875" style="28" customWidth="1"/>
    <col min="8578" max="8578" width="10.140625" style="28" customWidth="1"/>
    <col min="8579" max="8579" width="12.28515625" style="28" customWidth="1"/>
    <col min="8580" max="8582" width="0" style="28" hidden="1" customWidth="1"/>
    <col min="8583" max="8583" width="9.7109375" style="28" customWidth="1"/>
    <col min="8584" max="8585" width="10.7109375" style="28" customWidth="1"/>
    <col min="8586" max="8586" width="11.85546875" style="28" customWidth="1"/>
    <col min="8587" max="8587" width="0" style="28" hidden="1" customWidth="1"/>
    <col min="8588" max="8588" width="9.140625" style="28" customWidth="1"/>
    <col min="8589" max="8589" width="8" style="28" customWidth="1"/>
    <col min="8590" max="8590" width="7.5703125" style="28" customWidth="1"/>
    <col min="8591" max="8591" width="9" style="28" customWidth="1"/>
    <col min="8592" max="8594" width="9.140625" style="28" customWidth="1"/>
    <col min="8595" max="8600" width="0" style="28" hidden="1" customWidth="1"/>
    <col min="8601" max="8831" width="9.140625" style="28"/>
    <col min="8832" max="8832" width="7.85546875" style="28" customWidth="1"/>
    <col min="8833" max="8833" width="57.85546875" style="28" customWidth="1"/>
    <col min="8834" max="8834" width="10.140625" style="28" customWidth="1"/>
    <col min="8835" max="8835" width="12.28515625" style="28" customWidth="1"/>
    <col min="8836" max="8838" width="0" style="28" hidden="1" customWidth="1"/>
    <col min="8839" max="8839" width="9.7109375" style="28" customWidth="1"/>
    <col min="8840" max="8841" width="10.7109375" style="28" customWidth="1"/>
    <col min="8842" max="8842" width="11.85546875" style="28" customWidth="1"/>
    <col min="8843" max="8843" width="0" style="28" hidden="1" customWidth="1"/>
    <col min="8844" max="8844" width="9.140625" style="28" customWidth="1"/>
    <col min="8845" max="8845" width="8" style="28" customWidth="1"/>
    <col min="8846" max="8846" width="7.5703125" style="28" customWidth="1"/>
    <col min="8847" max="8847" width="9" style="28" customWidth="1"/>
    <col min="8848" max="8850" width="9.140625" style="28" customWidth="1"/>
    <col min="8851" max="8856" width="0" style="28" hidden="1" customWidth="1"/>
    <col min="8857" max="9087" width="9.140625" style="28"/>
    <col min="9088" max="9088" width="7.85546875" style="28" customWidth="1"/>
    <col min="9089" max="9089" width="57.85546875" style="28" customWidth="1"/>
    <col min="9090" max="9090" width="10.140625" style="28" customWidth="1"/>
    <col min="9091" max="9091" width="12.28515625" style="28" customWidth="1"/>
    <col min="9092" max="9094" width="0" style="28" hidden="1" customWidth="1"/>
    <col min="9095" max="9095" width="9.7109375" style="28" customWidth="1"/>
    <col min="9096" max="9097" width="10.7109375" style="28" customWidth="1"/>
    <col min="9098" max="9098" width="11.85546875" style="28" customWidth="1"/>
    <col min="9099" max="9099" width="0" style="28" hidden="1" customWidth="1"/>
    <col min="9100" max="9100" width="9.140625" style="28" customWidth="1"/>
    <col min="9101" max="9101" width="8" style="28" customWidth="1"/>
    <col min="9102" max="9102" width="7.5703125" style="28" customWidth="1"/>
    <col min="9103" max="9103" width="9" style="28" customWidth="1"/>
    <col min="9104" max="9106" width="9.140625" style="28" customWidth="1"/>
    <col min="9107" max="9112" width="0" style="28" hidden="1" customWidth="1"/>
    <col min="9113" max="9343" width="9.140625" style="28"/>
    <col min="9344" max="9344" width="7.85546875" style="28" customWidth="1"/>
    <col min="9345" max="9345" width="57.85546875" style="28" customWidth="1"/>
    <col min="9346" max="9346" width="10.140625" style="28" customWidth="1"/>
    <col min="9347" max="9347" width="12.28515625" style="28" customWidth="1"/>
    <col min="9348" max="9350" width="0" style="28" hidden="1" customWidth="1"/>
    <col min="9351" max="9351" width="9.7109375" style="28" customWidth="1"/>
    <col min="9352" max="9353" width="10.7109375" style="28" customWidth="1"/>
    <col min="9354" max="9354" width="11.85546875" style="28" customWidth="1"/>
    <col min="9355" max="9355" width="0" style="28" hidden="1" customWidth="1"/>
    <col min="9356" max="9356" width="9.140625" style="28" customWidth="1"/>
    <col min="9357" max="9357" width="8" style="28" customWidth="1"/>
    <col min="9358" max="9358" width="7.5703125" style="28" customWidth="1"/>
    <col min="9359" max="9359" width="9" style="28" customWidth="1"/>
    <col min="9360" max="9362" width="9.140625" style="28" customWidth="1"/>
    <col min="9363" max="9368" width="0" style="28" hidden="1" customWidth="1"/>
    <col min="9369" max="9599" width="9.140625" style="28"/>
    <col min="9600" max="9600" width="7.85546875" style="28" customWidth="1"/>
    <col min="9601" max="9601" width="57.85546875" style="28" customWidth="1"/>
    <col min="9602" max="9602" width="10.140625" style="28" customWidth="1"/>
    <col min="9603" max="9603" width="12.28515625" style="28" customWidth="1"/>
    <col min="9604" max="9606" width="0" style="28" hidden="1" customWidth="1"/>
    <col min="9607" max="9607" width="9.7109375" style="28" customWidth="1"/>
    <col min="9608" max="9609" width="10.7109375" style="28" customWidth="1"/>
    <col min="9610" max="9610" width="11.85546875" style="28" customWidth="1"/>
    <col min="9611" max="9611" width="0" style="28" hidden="1" customWidth="1"/>
    <col min="9612" max="9612" width="9.140625" style="28" customWidth="1"/>
    <col min="9613" max="9613" width="8" style="28" customWidth="1"/>
    <col min="9614" max="9614" width="7.5703125" style="28" customWidth="1"/>
    <col min="9615" max="9615" width="9" style="28" customWidth="1"/>
    <col min="9616" max="9618" width="9.140625" style="28" customWidth="1"/>
    <col min="9619" max="9624" width="0" style="28" hidden="1" customWidth="1"/>
    <col min="9625" max="9855" width="9.140625" style="28"/>
    <col min="9856" max="9856" width="7.85546875" style="28" customWidth="1"/>
    <col min="9857" max="9857" width="57.85546875" style="28" customWidth="1"/>
    <col min="9858" max="9858" width="10.140625" style="28" customWidth="1"/>
    <col min="9859" max="9859" width="12.28515625" style="28" customWidth="1"/>
    <col min="9860" max="9862" width="0" style="28" hidden="1" customWidth="1"/>
    <col min="9863" max="9863" width="9.7109375" style="28" customWidth="1"/>
    <col min="9864" max="9865" width="10.7109375" style="28" customWidth="1"/>
    <col min="9866" max="9866" width="11.85546875" style="28" customWidth="1"/>
    <col min="9867" max="9867" width="0" style="28" hidden="1" customWidth="1"/>
    <col min="9868" max="9868" width="9.140625" style="28" customWidth="1"/>
    <col min="9869" max="9869" width="8" style="28" customWidth="1"/>
    <col min="9870" max="9870" width="7.5703125" style="28" customWidth="1"/>
    <col min="9871" max="9871" width="9" style="28" customWidth="1"/>
    <col min="9872" max="9874" width="9.140625" style="28" customWidth="1"/>
    <col min="9875" max="9880" width="0" style="28" hidden="1" customWidth="1"/>
    <col min="9881" max="10111" width="9.140625" style="28"/>
    <col min="10112" max="10112" width="7.85546875" style="28" customWidth="1"/>
    <col min="10113" max="10113" width="57.85546875" style="28" customWidth="1"/>
    <col min="10114" max="10114" width="10.140625" style="28" customWidth="1"/>
    <col min="10115" max="10115" width="12.28515625" style="28" customWidth="1"/>
    <col min="10116" max="10118" width="0" style="28" hidden="1" customWidth="1"/>
    <col min="10119" max="10119" width="9.7109375" style="28" customWidth="1"/>
    <col min="10120" max="10121" width="10.7109375" style="28" customWidth="1"/>
    <col min="10122" max="10122" width="11.85546875" style="28" customWidth="1"/>
    <col min="10123" max="10123" width="0" style="28" hidden="1" customWidth="1"/>
    <col min="10124" max="10124" width="9.140625" style="28" customWidth="1"/>
    <col min="10125" max="10125" width="8" style="28" customWidth="1"/>
    <col min="10126" max="10126" width="7.5703125" style="28" customWidth="1"/>
    <col min="10127" max="10127" width="9" style="28" customWidth="1"/>
    <col min="10128" max="10130" width="9.140625" style="28" customWidth="1"/>
    <col min="10131" max="10136" width="0" style="28" hidden="1" customWidth="1"/>
    <col min="10137" max="10367" width="9.140625" style="28"/>
    <col min="10368" max="10368" width="7.85546875" style="28" customWidth="1"/>
    <col min="10369" max="10369" width="57.85546875" style="28" customWidth="1"/>
    <col min="10370" max="10370" width="10.140625" style="28" customWidth="1"/>
    <col min="10371" max="10371" width="12.28515625" style="28" customWidth="1"/>
    <col min="10372" max="10374" width="0" style="28" hidden="1" customWidth="1"/>
    <col min="10375" max="10375" width="9.7109375" style="28" customWidth="1"/>
    <col min="10376" max="10377" width="10.7109375" style="28" customWidth="1"/>
    <col min="10378" max="10378" width="11.85546875" style="28" customWidth="1"/>
    <col min="10379" max="10379" width="0" style="28" hidden="1" customWidth="1"/>
    <col min="10380" max="10380" width="9.140625" style="28" customWidth="1"/>
    <col min="10381" max="10381" width="8" style="28" customWidth="1"/>
    <col min="10382" max="10382" width="7.5703125" style="28" customWidth="1"/>
    <col min="10383" max="10383" width="9" style="28" customWidth="1"/>
    <col min="10384" max="10386" width="9.140625" style="28" customWidth="1"/>
    <col min="10387" max="10392" width="0" style="28" hidden="1" customWidth="1"/>
    <col min="10393" max="10623" width="9.140625" style="28"/>
    <col min="10624" max="10624" width="7.85546875" style="28" customWidth="1"/>
    <col min="10625" max="10625" width="57.85546875" style="28" customWidth="1"/>
    <col min="10626" max="10626" width="10.140625" style="28" customWidth="1"/>
    <col min="10627" max="10627" width="12.28515625" style="28" customWidth="1"/>
    <col min="10628" max="10630" width="0" style="28" hidden="1" customWidth="1"/>
    <col min="10631" max="10631" width="9.7109375" style="28" customWidth="1"/>
    <col min="10632" max="10633" width="10.7109375" style="28" customWidth="1"/>
    <col min="10634" max="10634" width="11.85546875" style="28" customWidth="1"/>
    <col min="10635" max="10635" width="0" style="28" hidden="1" customWidth="1"/>
    <col min="10636" max="10636" width="9.140625" style="28" customWidth="1"/>
    <col min="10637" max="10637" width="8" style="28" customWidth="1"/>
    <col min="10638" max="10638" width="7.5703125" style="28" customWidth="1"/>
    <col min="10639" max="10639" width="9" style="28" customWidth="1"/>
    <col min="10640" max="10642" width="9.140625" style="28" customWidth="1"/>
    <col min="10643" max="10648" width="0" style="28" hidden="1" customWidth="1"/>
    <col min="10649" max="10879" width="9.140625" style="28"/>
    <col min="10880" max="10880" width="7.85546875" style="28" customWidth="1"/>
    <col min="10881" max="10881" width="57.85546875" style="28" customWidth="1"/>
    <col min="10882" max="10882" width="10.140625" style="28" customWidth="1"/>
    <col min="10883" max="10883" width="12.28515625" style="28" customWidth="1"/>
    <col min="10884" max="10886" width="0" style="28" hidden="1" customWidth="1"/>
    <col min="10887" max="10887" width="9.7109375" style="28" customWidth="1"/>
    <col min="10888" max="10889" width="10.7109375" style="28" customWidth="1"/>
    <col min="10890" max="10890" width="11.85546875" style="28" customWidth="1"/>
    <col min="10891" max="10891" width="0" style="28" hidden="1" customWidth="1"/>
    <col min="10892" max="10892" width="9.140625" style="28" customWidth="1"/>
    <col min="10893" max="10893" width="8" style="28" customWidth="1"/>
    <col min="10894" max="10894" width="7.5703125" style="28" customWidth="1"/>
    <col min="10895" max="10895" width="9" style="28" customWidth="1"/>
    <col min="10896" max="10898" width="9.140625" style="28" customWidth="1"/>
    <col min="10899" max="10904" width="0" style="28" hidden="1" customWidth="1"/>
    <col min="10905" max="11135" width="9.140625" style="28"/>
    <col min="11136" max="11136" width="7.85546875" style="28" customWidth="1"/>
    <col min="11137" max="11137" width="57.85546875" style="28" customWidth="1"/>
    <col min="11138" max="11138" width="10.140625" style="28" customWidth="1"/>
    <col min="11139" max="11139" width="12.28515625" style="28" customWidth="1"/>
    <col min="11140" max="11142" width="0" style="28" hidden="1" customWidth="1"/>
    <col min="11143" max="11143" width="9.7109375" style="28" customWidth="1"/>
    <col min="11144" max="11145" width="10.7109375" style="28" customWidth="1"/>
    <col min="11146" max="11146" width="11.85546875" style="28" customWidth="1"/>
    <col min="11147" max="11147" width="0" style="28" hidden="1" customWidth="1"/>
    <col min="11148" max="11148" width="9.140625" style="28" customWidth="1"/>
    <col min="11149" max="11149" width="8" style="28" customWidth="1"/>
    <col min="11150" max="11150" width="7.5703125" style="28" customWidth="1"/>
    <col min="11151" max="11151" width="9" style="28" customWidth="1"/>
    <col min="11152" max="11154" width="9.140625" style="28" customWidth="1"/>
    <col min="11155" max="11160" width="0" style="28" hidden="1" customWidth="1"/>
    <col min="11161" max="11391" width="9.140625" style="28"/>
    <col min="11392" max="11392" width="7.85546875" style="28" customWidth="1"/>
    <col min="11393" max="11393" width="57.85546875" style="28" customWidth="1"/>
    <col min="11394" max="11394" width="10.140625" style="28" customWidth="1"/>
    <col min="11395" max="11395" width="12.28515625" style="28" customWidth="1"/>
    <col min="11396" max="11398" width="0" style="28" hidden="1" customWidth="1"/>
    <col min="11399" max="11399" width="9.7109375" style="28" customWidth="1"/>
    <col min="11400" max="11401" width="10.7109375" style="28" customWidth="1"/>
    <col min="11402" max="11402" width="11.85546875" style="28" customWidth="1"/>
    <col min="11403" max="11403" width="0" style="28" hidden="1" customWidth="1"/>
    <col min="11404" max="11404" width="9.140625" style="28" customWidth="1"/>
    <col min="11405" max="11405" width="8" style="28" customWidth="1"/>
    <col min="11406" max="11406" width="7.5703125" style="28" customWidth="1"/>
    <col min="11407" max="11407" width="9" style="28" customWidth="1"/>
    <col min="11408" max="11410" width="9.140625" style="28" customWidth="1"/>
    <col min="11411" max="11416" width="0" style="28" hidden="1" customWidth="1"/>
    <col min="11417" max="11647" width="9.140625" style="28"/>
    <col min="11648" max="11648" width="7.85546875" style="28" customWidth="1"/>
    <col min="11649" max="11649" width="57.85546875" style="28" customWidth="1"/>
    <col min="11650" max="11650" width="10.140625" style="28" customWidth="1"/>
    <col min="11651" max="11651" width="12.28515625" style="28" customWidth="1"/>
    <col min="11652" max="11654" width="0" style="28" hidden="1" customWidth="1"/>
    <col min="11655" max="11655" width="9.7109375" style="28" customWidth="1"/>
    <col min="11656" max="11657" width="10.7109375" style="28" customWidth="1"/>
    <col min="11658" max="11658" width="11.85546875" style="28" customWidth="1"/>
    <col min="11659" max="11659" width="0" style="28" hidden="1" customWidth="1"/>
    <col min="11660" max="11660" width="9.140625" style="28" customWidth="1"/>
    <col min="11661" max="11661" width="8" style="28" customWidth="1"/>
    <col min="11662" max="11662" width="7.5703125" style="28" customWidth="1"/>
    <col min="11663" max="11663" width="9" style="28" customWidth="1"/>
    <col min="11664" max="11666" width="9.140625" style="28" customWidth="1"/>
    <col min="11667" max="11672" width="0" style="28" hidden="1" customWidth="1"/>
    <col min="11673" max="11903" width="9.140625" style="28"/>
    <col min="11904" max="11904" width="7.85546875" style="28" customWidth="1"/>
    <col min="11905" max="11905" width="57.85546875" style="28" customWidth="1"/>
    <col min="11906" max="11906" width="10.140625" style="28" customWidth="1"/>
    <col min="11907" max="11907" width="12.28515625" style="28" customWidth="1"/>
    <col min="11908" max="11910" width="0" style="28" hidden="1" customWidth="1"/>
    <col min="11911" max="11911" width="9.7109375" style="28" customWidth="1"/>
    <col min="11912" max="11913" width="10.7109375" style="28" customWidth="1"/>
    <col min="11914" max="11914" width="11.85546875" style="28" customWidth="1"/>
    <col min="11915" max="11915" width="0" style="28" hidden="1" customWidth="1"/>
    <col min="11916" max="11916" width="9.140625" style="28" customWidth="1"/>
    <col min="11917" max="11917" width="8" style="28" customWidth="1"/>
    <col min="11918" max="11918" width="7.5703125" style="28" customWidth="1"/>
    <col min="11919" max="11919" width="9" style="28" customWidth="1"/>
    <col min="11920" max="11922" width="9.140625" style="28" customWidth="1"/>
    <col min="11923" max="11928" width="0" style="28" hidden="1" customWidth="1"/>
    <col min="11929" max="12159" width="9.140625" style="28"/>
    <col min="12160" max="12160" width="7.85546875" style="28" customWidth="1"/>
    <col min="12161" max="12161" width="57.85546875" style="28" customWidth="1"/>
    <col min="12162" max="12162" width="10.140625" style="28" customWidth="1"/>
    <col min="12163" max="12163" width="12.28515625" style="28" customWidth="1"/>
    <col min="12164" max="12166" width="0" style="28" hidden="1" customWidth="1"/>
    <col min="12167" max="12167" width="9.7109375" style="28" customWidth="1"/>
    <col min="12168" max="12169" width="10.7109375" style="28" customWidth="1"/>
    <col min="12170" max="12170" width="11.85546875" style="28" customWidth="1"/>
    <col min="12171" max="12171" width="0" style="28" hidden="1" customWidth="1"/>
    <col min="12172" max="12172" width="9.140625" style="28" customWidth="1"/>
    <col min="12173" max="12173" width="8" style="28" customWidth="1"/>
    <col min="12174" max="12174" width="7.5703125" style="28" customWidth="1"/>
    <col min="12175" max="12175" width="9" style="28" customWidth="1"/>
    <col min="12176" max="12178" width="9.140625" style="28" customWidth="1"/>
    <col min="12179" max="12184" width="0" style="28" hidden="1" customWidth="1"/>
    <col min="12185" max="12415" width="9.140625" style="28"/>
    <col min="12416" max="12416" width="7.85546875" style="28" customWidth="1"/>
    <col min="12417" max="12417" width="57.85546875" style="28" customWidth="1"/>
    <col min="12418" max="12418" width="10.140625" style="28" customWidth="1"/>
    <col min="12419" max="12419" width="12.28515625" style="28" customWidth="1"/>
    <col min="12420" max="12422" width="0" style="28" hidden="1" customWidth="1"/>
    <col min="12423" max="12423" width="9.7109375" style="28" customWidth="1"/>
    <col min="12424" max="12425" width="10.7109375" style="28" customWidth="1"/>
    <col min="12426" max="12426" width="11.85546875" style="28" customWidth="1"/>
    <col min="12427" max="12427" width="0" style="28" hidden="1" customWidth="1"/>
    <col min="12428" max="12428" width="9.140625" style="28" customWidth="1"/>
    <col min="12429" max="12429" width="8" style="28" customWidth="1"/>
    <col min="12430" max="12430" width="7.5703125" style="28" customWidth="1"/>
    <col min="12431" max="12431" width="9" style="28" customWidth="1"/>
    <col min="12432" max="12434" width="9.140625" style="28" customWidth="1"/>
    <col min="12435" max="12440" width="0" style="28" hidden="1" customWidth="1"/>
    <col min="12441" max="12671" width="9.140625" style="28"/>
    <col min="12672" max="12672" width="7.85546875" style="28" customWidth="1"/>
    <col min="12673" max="12673" width="57.85546875" style="28" customWidth="1"/>
    <col min="12674" max="12674" width="10.140625" style="28" customWidth="1"/>
    <col min="12675" max="12675" width="12.28515625" style="28" customWidth="1"/>
    <col min="12676" max="12678" width="0" style="28" hidden="1" customWidth="1"/>
    <col min="12679" max="12679" width="9.7109375" style="28" customWidth="1"/>
    <col min="12680" max="12681" width="10.7109375" style="28" customWidth="1"/>
    <col min="12682" max="12682" width="11.85546875" style="28" customWidth="1"/>
    <col min="12683" max="12683" width="0" style="28" hidden="1" customWidth="1"/>
    <col min="12684" max="12684" width="9.140625" style="28" customWidth="1"/>
    <col min="12685" max="12685" width="8" style="28" customWidth="1"/>
    <col min="12686" max="12686" width="7.5703125" style="28" customWidth="1"/>
    <col min="12687" max="12687" width="9" style="28" customWidth="1"/>
    <col min="12688" max="12690" width="9.140625" style="28" customWidth="1"/>
    <col min="12691" max="12696" width="0" style="28" hidden="1" customWidth="1"/>
    <col min="12697" max="12927" width="9.140625" style="28"/>
    <col min="12928" max="12928" width="7.85546875" style="28" customWidth="1"/>
    <col min="12929" max="12929" width="57.85546875" style="28" customWidth="1"/>
    <col min="12930" max="12930" width="10.140625" style="28" customWidth="1"/>
    <col min="12931" max="12931" width="12.28515625" style="28" customWidth="1"/>
    <col min="12932" max="12934" width="0" style="28" hidden="1" customWidth="1"/>
    <col min="12935" max="12935" width="9.7109375" style="28" customWidth="1"/>
    <col min="12936" max="12937" width="10.7109375" style="28" customWidth="1"/>
    <col min="12938" max="12938" width="11.85546875" style="28" customWidth="1"/>
    <col min="12939" max="12939" width="0" style="28" hidden="1" customWidth="1"/>
    <col min="12940" max="12940" width="9.140625" style="28" customWidth="1"/>
    <col min="12941" max="12941" width="8" style="28" customWidth="1"/>
    <col min="12942" max="12942" width="7.5703125" style="28" customWidth="1"/>
    <col min="12943" max="12943" width="9" style="28" customWidth="1"/>
    <col min="12944" max="12946" width="9.140625" style="28" customWidth="1"/>
    <col min="12947" max="12952" width="0" style="28" hidden="1" customWidth="1"/>
    <col min="12953" max="13183" width="9.140625" style="28"/>
    <col min="13184" max="13184" width="7.85546875" style="28" customWidth="1"/>
    <col min="13185" max="13185" width="57.85546875" style="28" customWidth="1"/>
    <col min="13186" max="13186" width="10.140625" style="28" customWidth="1"/>
    <col min="13187" max="13187" width="12.28515625" style="28" customWidth="1"/>
    <col min="13188" max="13190" width="0" style="28" hidden="1" customWidth="1"/>
    <col min="13191" max="13191" width="9.7109375" style="28" customWidth="1"/>
    <col min="13192" max="13193" width="10.7109375" style="28" customWidth="1"/>
    <col min="13194" max="13194" width="11.85546875" style="28" customWidth="1"/>
    <col min="13195" max="13195" width="0" style="28" hidden="1" customWidth="1"/>
    <col min="13196" max="13196" width="9.140625" style="28" customWidth="1"/>
    <col min="13197" max="13197" width="8" style="28" customWidth="1"/>
    <col min="13198" max="13198" width="7.5703125" style="28" customWidth="1"/>
    <col min="13199" max="13199" width="9" style="28" customWidth="1"/>
    <col min="13200" max="13202" width="9.140625" style="28" customWidth="1"/>
    <col min="13203" max="13208" width="0" style="28" hidden="1" customWidth="1"/>
    <col min="13209" max="13439" width="9.140625" style="28"/>
    <col min="13440" max="13440" width="7.85546875" style="28" customWidth="1"/>
    <col min="13441" max="13441" width="57.85546875" style="28" customWidth="1"/>
    <col min="13442" max="13442" width="10.140625" style="28" customWidth="1"/>
    <col min="13443" max="13443" width="12.28515625" style="28" customWidth="1"/>
    <col min="13444" max="13446" width="0" style="28" hidden="1" customWidth="1"/>
    <col min="13447" max="13447" width="9.7109375" style="28" customWidth="1"/>
    <col min="13448" max="13449" width="10.7109375" style="28" customWidth="1"/>
    <col min="13450" max="13450" width="11.85546875" style="28" customWidth="1"/>
    <col min="13451" max="13451" width="0" style="28" hidden="1" customWidth="1"/>
    <col min="13452" max="13452" width="9.140625" style="28" customWidth="1"/>
    <col min="13453" max="13453" width="8" style="28" customWidth="1"/>
    <col min="13454" max="13454" width="7.5703125" style="28" customWidth="1"/>
    <col min="13455" max="13455" width="9" style="28" customWidth="1"/>
    <col min="13456" max="13458" width="9.140625" style="28" customWidth="1"/>
    <col min="13459" max="13464" width="0" style="28" hidden="1" customWidth="1"/>
    <col min="13465" max="13695" width="9.140625" style="28"/>
    <col min="13696" max="13696" width="7.85546875" style="28" customWidth="1"/>
    <col min="13697" max="13697" width="57.85546875" style="28" customWidth="1"/>
    <col min="13698" max="13698" width="10.140625" style="28" customWidth="1"/>
    <col min="13699" max="13699" width="12.28515625" style="28" customWidth="1"/>
    <col min="13700" max="13702" width="0" style="28" hidden="1" customWidth="1"/>
    <col min="13703" max="13703" width="9.7109375" style="28" customWidth="1"/>
    <col min="13704" max="13705" width="10.7109375" style="28" customWidth="1"/>
    <col min="13706" max="13706" width="11.85546875" style="28" customWidth="1"/>
    <col min="13707" max="13707" width="0" style="28" hidden="1" customWidth="1"/>
    <col min="13708" max="13708" width="9.140625" style="28" customWidth="1"/>
    <col min="13709" max="13709" width="8" style="28" customWidth="1"/>
    <col min="13710" max="13710" width="7.5703125" style="28" customWidth="1"/>
    <col min="13711" max="13711" width="9" style="28" customWidth="1"/>
    <col min="13712" max="13714" width="9.140625" style="28" customWidth="1"/>
    <col min="13715" max="13720" width="0" style="28" hidden="1" customWidth="1"/>
    <col min="13721" max="13951" width="9.140625" style="28"/>
    <col min="13952" max="13952" width="7.85546875" style="28" customWidth="1"/>
    <col min="13953" max="13953" width="57.85546875" style="28" customWidth="1"/>
    <col min="13954" max="13954" width="10.140625" style="28" customWidth="1"/>
    <col min="13955" max="13955" width="12.28515625" style="28" customWidth="1"/>
    <col min="13956" max="13958" width="0" style="28" hidden="1" customWidth="1"/>
    <col min="13959" max="13959" width="9.7109375" style="28" customWidth="1"/>
    <col min="13960" max="13961" width="10.7109375" style="28" customWidth="1"/>
    <col min="13962" max="13962" width="11.85546875" style="28" customWidth="1"/>
    <col min="13963" max="13963" width="0" style="28" hidden="1" customWidth="1"/>
    <col min="13964" max="13964" width="9.140625" style="28" customWidth="1"/>
    <col min="13965" max="13965" width="8" style="28" customWidth="1"/>
    <col min="13966" max="13966" width="7.5703125" style="28" customWidth="1"/>
    <col min="13967" max="13967" width="9" style="28" customWidth="1"/>
    <col min="13968" max="13970" width="9.140625" style="28" customWidth="1"/>
    <col min="13971" max="13976" width="0" style="28" hidden="1" customWidth="1"/>
    <col min="13977" max="14207" width="9.140625" style="28"/>
    <col min="14208" max="14208" width="7.85546875" style="28" customWidth="1"/>
    <col min="14209" max="14209" width="57.85546875" style="28" customWidth="1"/>
    <col min="14210" max="14210" width="10.140625" style="28" customWidth="1"/>
    <col min="14211" max="14211" width="12.28515625" style="28" customWidth="1"/>
    <col min="14212" max="14214" width="0" style="28" hidden="1" customWidth="1"/>
    <col min="14215" max="14215" width="9.7109375" style="28" customWidth="1"/>
    <col min="14216" max="14217" width="10.7109375" style="28" customWidth="1"/>
    <col min="14218" max="14218" width="11.85546875" style="28" customWidth="1"/>
    <col min="14219" max="14219" width="0" style="28" hidden="1" customWidth="1"/>
    <col min="14220" max="14220" width="9.140625" style="28" customWidth="1"/>
    <col min="14221" max="14221" width="8" style="28" customWidth="1"/>
    <col min="14222" max="14222" width="7.5703125" style="28" customWidth="1"/>
    <col min="14223" max="14223" width="9" style="28" customWidth="1"/>
    <col min="14224" max="14226" width="9.140625" style="28" customWidth="1"/>
    <col min="14227" max="14232" width="0" style="28" hidden="1" customWidth="1"/>
    <col min="14233" max="14463" width="9.140625" style="28"/>
    <col min="14464" max="14464" width="7.85546875" style="28" customWidth="1"/>
    <col min="14465" max="14465" width="57.85546875" style="28" customWidth="1"/>
    <col min="14466" max="14466" width="10.140625" style="28" customWidth="1"/>
    <col min="14467" max="14467" width="12.28515625" style="28" customWidth="1"/>
    <col min="14468" max="14470" width="0" style="28" hidden="1" customWidth="1"/>
    <col min="14471" max="14471" width="9.7109375" style="28" customWidth="1"/>
    <col min="14472" max="14473" width="10.7109375" style="28" customWidth="1"/>
    <col min="14474" max="14474" width="11.85546875" style="28" customWidth="1"/>
    <col min="14475" max="14475" width="0" style="28" hidden="1" customWidth="1"/>
    <col min="14476" max="14476" width="9.140625" style="28" customWidth="1"/>
    <col min="14477" max="14477" width="8" style="28" customWidth="1"/>
    <col min="14478" max="14478" width="7.5703125" style="28" customWidth="1"/>
    <col min="14479" max="14479" width="9" style="28" customWidth="1"/>
    <col min="14480" max="14482" width="9.140625" style="28" customWidth="1"/>
    <col min="14483" max="14488" width="0" style="28" hidden="1" customWidth="1"/>
    <col min="14489" max="14719" width="9.140625" style="28"/>
    <col min="14720" max="14720" width="7.85546875" style="28" customWidth="1"/>
    <col min="14721" max="14721" width="57.85546875" style="28" customWidth="1"/>
    <col min="14722" max="14722" width="10.140625" style="28" customWidth="1"/>
    <col min="14723" max="14723" width="12.28515625" style="28" customWidth="1"/>
    <col min="14724" max="14726" width="0" style="28" hidden="1" customWidth="1"/>
    <col min="14727" max="14727" width="9.7109375" style="28" customWidth="1"/>
    <col min="14728" max="14729" width="10.7109375" style="28" customWidth="1"/>
    <col min="14730" max="14730" width="11.85546875" style="28" customWidth="1"/>
    <col min="14731" max="14731" width="0" style="28" hidden="1" customWidth="1"/>
    <col min="14732" max="14732" width="9.140625" style="28" customWidth="1"/>
    <col min="14733" max="14733" width="8" style="28" customWidth="1"/>
    <col min="14734" max="14734" width="7.5703125" style="28" customWidth="1"/>
    <col min="14735" max="14735" width="9" style="28" customWidth="1"/>
    <col min="14736" max="14738" width="9.140625" style="28" customWidth="1"/>
    <col min="14739" max="14744" width="0" style="28" hidden="1" customWidth="1"/>
    <col min="14745" max="14975" width="9.140625" style="28"/>
    <col min="14976" max="14976" width="7.85546875" style="28" customWidth="1"/>
    <col min="14977" max="14977" width="57.85546875" style="28" customWidth="1"/>
    <col min="14978" max="14978" width="10.140625" style="28" customWidth="1"/>
    <col min="14979" max="14979" width="12.28515625" style="28" customWidth="1"/>
    <col min="14980" max="14982" width="0" style="28" hidden="1" customWidth="1"/>
    <col min="14983" max="14983" width="9.7109375" style="28" customWidth="1"/>
    <col min="14984" max="14985" width="10.7109375" style="28" customWidth="1"/>
    <col min="14986" max="14986" width="11.85546875" style="28" customWidth="1"/>
    <col min="14987" max="14987" width="0" style="28" hidden="1" customWidth="1"/>
    <col min="14988" max="14988" width="9.140625" style="28" customWidth="1"/>
    <col min="14989" max="14989" width="8" style="28" customWidth="1"/>
    <col min="14990" max="14990" width="7.5703125" style="28" customWidth="1"/>
    <col min="14991" max="14991" width="9" style="28" customWidth="1"/>
    <col min="14992" max="14994" width="9.140625" style="28" customWidth="1"/>
    <col min="14995" max="15000" width="0" style="28" hidden="1" customWidth="1"/>
    <col min="15001" max="15231" width="9.140625" style="28"/>
    <col min="15232" max="15232" width="7.85546875" style="28" customWidth="1"/>
    <col min="15233" max="15233" width="57.85546875" style="28" customWidth="1"/>
    <col min="15234" max="15234" width="10.140625" style="28" customWidth="1"/>
    <col min="15235" max="15235" width="12.28515625" style="28" customWidth="1"/>
    <col min="15236" max="15238" width="0" style="28" hidden="1" customWidth="1"/>
    <col min="15239" max="15239" width="9.7109375" style="28" customWidth="1"/>
    <col min="15240" max="15241" width="10.7109375" style="28" customWidth="1"/>
    <col min="15242" max="15242" width="11.85546875" style="28" customWidth="1"/>
    <col min="15243" max="15243" width="0" style="28" hidden="1" customWidth="1"/>
    <col min="15244" max="15244" width="9.140625" style="28" customWidth="1"/>
    <col min="15245" max="15245" width="8" style="28" customWidth="1"/>
    <col min="15246" max="15246" width="7.5703125" style="28" customWidth="1"/>
    <col min="15247" max="15247" width="9" style="28" customWidth="1"/>
    <col min="15248" max="15250" width="9.140625" style="28" customWidth="1"/>
    <col min="15251" max="15256" width="0" style="28" hidden="1" customWidth="1"/>
    <col min="15257" max="15487" width="9.140625" style="28"/>
    <col min="15488" max="15488" width="7.85546875" style="28" customWidth="1"/>
    <col min="15489" max="15489" width="57.85546875" style="28" customWidth="1"/>
    <col min="15490" max="15490" width="10.140625" style="28" customWidth="1"/>
    <col min="15491" max="15491" width="12.28515625" style="28" customWidth="1"/>
    <col min="15492" max="15494" width="0" style="28" hidden="1" customWidth="1"/>
    <col min="15495" max="15495" width="9.7109375" style="28" customWidth="1"/>
    <col min="15496" max="15497" width="10.7109375" style="28" customWidth="1"/>
    <col min="15498" max="15498" width="11.85546875" style="28" customWidth="1"/>
    <col min="15499" max="15499" width="0" style="28" hidden="1" customWidth="1"/>
    <col min="15500" max="15500" width="9.140625" style="28" customWidth="1"/>
    <col min="15501" max="15501" width="8" style="28" customWidth="1"/>
    <col min="15502" max="15502" width="7.5703125" style="28" customWidth="1"/>
    <col min="15503" max="15503" width="9" style="28" customWidth="1"/>
    <col min="15504" max="15506" width="9.140625" style="28" customWidth="1"/>
    <col min="15507" max="15512" width="0" style="28" hidden="1" customWidth="1"/>
    <col min="15513" max="15743" width="9.140625" style="28"/>
    <col min="15744" max="15744" width="7.85546875" style="28" customWidth="1"/>
    <col min="15745" max="15745" width="57.85546875" style="28" customWidth="1"/>
    <col min="15746" max="15746" width="10.140625" style="28" customWidth="1"/>
    <col min="15747" max="15747" width="12.28515625" style="28" customWidth="1"/>
    <col min="15748" max="15750" width="0" style="28" hidden="1" customWidth="1"/>
    <col min="15751" max="15751" width="9.7109375" style="28" customWidth="1"/>
    <col min="15752" max="15753" width="10.7109375" style="28" customWidth="1"/>
    <col min="15754" max="15754" width="11.85546875" style="28" customWidth="1"/>
    <col min="15755" max="15755" width="0" style="28" hidden="1" customWidth="1"/>
    <col min="15756" max="15756" width="9.140625" style="28" customWidth="1"/>
    <col min="15757" max="15757" width="8" style="28" customWidth="1"/>
    <col min="15758" max="15758" width="7.5703125" style="28" customWidth="1"/>
    <col min="15759" max="15759" width="9" style="28" customWidth="1"/>
    <col min="15760" max="15762" width="9.140625" style="28" customWidth="1"/>
    <col min="15763" max="15768" width="0" style="28" hidden="1" customWidth="1"/>
    <col min="15769" max="15999" width="9.140625" style="28"/>
    <col min="16000" max="16000" width="7.85546875" style="28" customWidth="1"/>
    <col min="16001" max="16001" width="57.85546875" style="28" customWidth="1"/>
    <col min="16002" max="16002" width="10.140625" style="28" customWidth="1"/>
    <col min="16003" max="16003" width="12.28515625" style="28" customWidth="1"/>
    <col min="16004" max="16006" width="0" style="28" hidden="1" customWidth="1"/>
    <col min="16007" max="16007" width="9.7109375" style="28" customWidth="1"/>
    <col min="16008" max="16009" width="10.7109375" style="28" customWidth="1"/>
    <col min="16010" max="16010" width="11.85546875" style="28" customWidth="1"/>
    <col min="16011" max="16011" width="0" style="28" hidden="1" customWidth="1"/>
    <col min="16012" max="16012" width="9.140625" style="28" customWidth="1"/>
    <col min="16013" max="16013" width="8" style="28" customWidth="1"/>
    <col min="16014" max="16014" width="7.5703125" style="28" customWidth="1"/>
    <col min="16015" max="16015" width="9" style="28" customWidth="1"/>
    <col min="16016" max="16018" width="9.140625" style="28" customWidth="1"/>
    <col min="16019" max="16024" width="0" style="28" hidden="1" customWidth="1"/>
    <col min="16025" max="16384" width="9.140625" style="28"/>
  </cols>
  <sheetData>
    <row r="2" spans="1:8" x14ac:dyDescent="0.25">
      <c r="A2" s="105" t="s">
        <v>74</v>
      </c>
      <c r="B2" s="105"/>
      <c r="C2" s="105"/>
      <c r="D2" s="105"/>
      <c r="E2" s="105"/>
      <c r="F2" s="105"/>
      <c r="G2" s="105"/>
      <c r="H2" s="105"/>
    </row>
    <row r="3" spans="1:8" ht="15" x14ac:dyDescent="0.25">
      <c r="A3" s="26"/>
      <c r="B3" s="26"/>
      <c r="C3" s="26"/>
      <c r="D3" s="26"/>
      <c r="E3" s="26"/>
      <c r="F3" s="26"/>
      <c r="G3" s="26"/>
    </row>
    <row r="4" spans="1:8" x14ac:dyDescent="0.25">
      <c r="A4" s="106" t="s">
        <v>1</v>
      </c>
      <c r="B4" s="109"/>
      <c r="C4" s="110"/>
      <c r="D4" s="1"/>
      <c r="E4" s="2"/>
      <c r="F4" s="3"/>
      <c r="G4" s="27"/>
      <c r="H4" s="106" t="s">
        <v>0</v>
      </c>
    </row>
    <row r="5" spans="1:8" x14ac:dyDescent="0.25">
      <c r="A5" s="107"/>
      <c r="B5" s="111" t="s">
        <v>2</v>
      </c>
      <c r="C5" s="112"/>
      <c r="D5" s="115" t="s">
        <v>3</v>
      </c>
      <c r="E5" s="116"/>
      <c r="F5" s="117"/>
      <c r="G5" s="118" t="s">
        <v>4</v>
      </c>
      <c r="H5" s="107"/>
    </row>
    <row r="6" spans="1:8" ht="15" x14ac:dyDescent="0.25">
      <c r="A6" s="107"/>
      <c r="B6" s="111"/>
      <c r="C6" s="112"/>
      <c r="D6" s="121" t="s">
        <v>5</v>
      </c>
      <c r="E6" s="121" t="s">
        <v>6</v>
      </c>
      <c r="F6" s="121" t="s">
        <v>7</v>
      </c>
      <c r="G6" s="119"/>
      <c r="H6" s="107"/>
    </row>
    <row r="7" spans="1:8" ht="15" x14ac:dyDescent="0.25">
      <c r="A7" s="107"/>
      <c r="B7" s="111"/>
      <c r="C7" s="112"/>
      <c r="D7" s="122"/>
      <c r="E7" s="122"/>
      <c r="F7" s="122"/>
      <c r="G7" s="119"/>
      <c r="H7" s="107"/>
    </row>
    <row r="8" spans="1:8" ht="15" x14ac:dyDescent="0.25">
      <c r="A8" s="108"/>
      <c r="B8" s="113"/>
      <c r="C8" s="114"/>
      <c r="D8" s="123"/>
      <c r="E8" s="123"/>
      <c r="F8" s="123"/>
      <c r="G8" s="120"/>
      <c r="H8" s="108"/>
    </row>
    <row r="9" spans="1:8" ht="27" customHeight="1" x14ac:dyDescent="0.25">
      <c r="A9" s="81" t="s">
        <v>31</v>
      </c>
      <c r="B9" s="82"/>
      <c r="C9" s="82"/>
      <c r="D9" s="82"/>
      <c r="E9" s="82"/>
      <c r="F9" s="82"/>
      <c r="G9" s="83"/>
      <c r="H9" s="51"/>
    </row>
    <row r="10" spans="1:8" ht="23.25" customHeight="1" x14ac:dyDescent="0.25">
      <c r="A10" s="81" t="s">
        <v>34</v>
      </c>
      <c r="B10" s="82"/>
      <c r="C10" s="83"/>
      <c r="D10" s="4"/>
      <c r="E10" s="4"/>
      <c r="F10" s="4"/>
      <c r="G10" s="4"/>
      <c r="H10" s="51"/>
    </row>
    <row r="11" spans="1:8" ht="18.75" x14ac:dyDescent="0.25">
      <c r="A11" s="52" t="s">
        <v>75</v>
      </c>
      <c r="B11" s="98" t="s">
        <v>76</v>
      </c>
      <c r="C11" s="99"/>
      <c r="D11" s="20">
        <v>13.32</v>
      </c>
      <c r="E11" s="20">
        <v>13.8</v>
      </c>
      <c r="F11" s="20">
        <v>58.3</v>
      </c>
      <c r="G11" s="20">
        <v>336.8</v>
      </c>
      <c r="H11" s="25">
        <v>366</v>
      </c>
    </row>
    <row r="12" spans="1:8" ht="18.75" x14ac:dyDescent="0.3">
      <c r="A12" s="42" t="s">
        <v>65</v>
      </c>
      <c r="B12" s="86">
        <v>50</v>
      </c>
      <c r="C12" s="87"/>
      <c r="D12" s="7">
        <v>2.42</v>
      </c>
      <c r="E12" s="7">
        <v>2.5099999999999998</v>
      </c>
      <c r="F12" s="7">
        <v>16.03</v>
      </c>
      <c r="G12" s="7">
        <v>37.22</v>
      </c>
      <c r="H12" s="19">
        <v>428</v>
      </c>
    </row>
    <row r="13" spans="1:8" ht="18.75" x14ac:dyDescent="0.3">
      <c r="A13" s="42" t="s">
        <v>9</v>
      </c>
      <c r="B13" s="77">
        <v>200</v>
      </c>
      <c r="C13" s="78"/>
      <c r="D13" s="7">
        <v>0.17</v>
      </c>
      <c r="E13" s="7">
        <v>0.04</v>
      </c>
      <c r="F13" s="7">
        <v>9.9700000000000006</v>
      </c>
      <c r="G13" s="7">
        <v>40.56</v>
      </c>
      <c r="H13" s="19">
        <v>376</v>
      </c>
    </row>
    <row r="14" spans="1:8" s="33" customFormat="1" x14ac:dyDescent="0.25">
      <c r="A14" s="9" t="s">
        <v>10</v>
      </c>
      <c r="B14" s="88">
        <v>500</v>
      </c>
      <c r="C14" s="89"/>
      <c r="D14" s="10">
        <f>SUM(D11:D13)</f>
        <v>15.91</v>
      </c>
      <c r="E14" s="10">
        <f>SUM(E11:E13)</f>
        <v>16.350000000000001</v>
      </c>
      <c r="F14" s="10">
        <f>SUM(F11:F13)</f>
        <v>84.3</v>
      </c>
      <c r="G14" s="10">
        <f>SUM(G11:G13)</f>
        <v>414.58</v>
      </c>
      <c r="H14" s="24"/>
    </row>
    <row r="15" spans="1:8" ht="18.75" x14ac:dyDescent="0.25">
      <c r="A15" s="81" t="s">
        <v>33</v>
      </c>
      <c r="B15" s="82"/>
      <c r="C15" s="82"/>
      <c r="D15" s="82"/>
      <c r="E15" s="82"/>
      <c r="F15" s="82"/>
      <c r="G15" s="83"/>
      <c r="H15" s="51"/>
    </row>
    <row r="16" spans="1:8" ht="18.75" x14ac:dyDescent="0.25">
      <c r="A16" s="81" t="s">
        <v>34</v>
      </c>
      <c r="B16" s="82"/>
      <c r="C16" s="83"/>
      <c r="D16" s="4"/>
      <c r="E16" s="4"/>
      <c r="F16" s="4"/>
      <c r="G16" s="4"/>
      <c r="H16" s="51"/>
    </row>
    <row r="17" spans="1:8" ht="18.75" x14ac:dyDescent="0.3">
      <c r="A17" s="5" t="s">
        <v>30</v>
      </c>
      <c r="B17" s="77">
        <v>150</v>
      </c>
      <c r="C17" s="78"/>
      <c r="D17" s="7">
        <v>6.2</v>
      </c>
      <c r="E17" s="7">
        <v>9.9</v>
      </c>
      <c r="F17" s="7">
        <v>19.2</v>
      </c>
      <c r="G17" s="7">
        <v>189.4</v>
      </c>
      <c r="H17" s="19">
        <v>334</v>
      </c>
    </row>
    <row r="18" spans="1:8" ht="37.5" x14ac:dyDescent="0.3">
      <c r="A18" s="5" t="s">
        <v>29</v>
      </c>
      <c r="B18" s="77">
        <v>110</v>
      </c>
      <c r="C18" s="78"/>
      <c r="D18" s="13">
        <v>7.081818181818182</v>
      </c>
      <c r="E18" s="13">
        <v>11.6454545454545</v>
      </c>
      <c r="F18" s="13">
        <v>12.727272727272727</v>
      </c>
      <c r="G18" s="13">
        <v>183.69</v>
      </c>
      <c r="H18" s="19">
        <v>128</v>
      </c>
    </row>
    <row r="19" spans="1:8" ht="18.75" x14ac:dyDescent="0.3">
      <c r="A19" s="42" t="s">
        <v>15</v>
      </c>
      <c r="B19" s="86">
        <v>40</v>
      </c>
      <c r="C19" s="87"/>
      <c r="D19" s="7">
        <v>3</v>
      </c>
      <c r="E19" s="7">
        <v>0.29600000000000004</v>
      </c>
      <c r="F19" s="7">
        <v>19.399999999999999</v>
      </c>
      <c r="G19" s="7">
        <v>92.4</v>
      </c>
      <c r="H19" s="19" t="s">
        <v>8</v>
      </c>
    </row>
    <row r="20" spans="1:8" ht="18.75" x14ac:dyDescent="0.3">
      <c r="A20" s="16" t="s">
        <v>18</v>
      </c>
      <c r="B20" s="86">
        <v>200</v>
      </c>
      <c r="C20" s="87"/>
      <c r="D20" s="7">
        <v>0.26</v>
      </c>
      <c r="E20" s="7">
        <v>0.05</v>
      </c>
      <c r="F20" s="7">
        <v>12.26</v>
      </c>
      <c r="G20" s="7">
        <v>49.72</v>
      </c>
      <c r="H20" s="19">
        <v>377</v>
      </c>
    </row>
    <row r="21" spans="1:8" s="33" customFormat="1" x14ac:dyDescent="0.25">
      <c r="A21" s="9" t="s">
        <v>10</v>
      </c>
      <c r="B21" s="88">
        <f>SUM(B17:C20)</f>
        <v>500</v>
      </c>
      <c r="C21" s="89"/>
      <c r="D21" s="10">
        <f>SUM(D17:D20)</f>
        <v>16.541818181818183</v>
      </c>
      <c r="E21" s="10">
        <f>SUM(E17:E20)</f>
        <v>21.891454545454501</v>
      </c>
      <c r="F21" s="10">
        <f>SUM(F17:F20)</f>
        <v>63.587272727272726</v>
      </c>
      <c r="G21" s="10">
        <f>SUM(G17:G20)</f>
        <v>515.21</v>
      </c>
      <c r="H21" s="24"/>
    </row>
    <row r="22" spans="1:8" ht="18.75" x14ac:dyDescent="0.25">
      <c r="A22" s="81" t="s">
        <v>35</v>
      </c>
      <c r="B22" s="82"/>
      <c r="C22" s="82"/>
      <c r="D22" s="82"/>
      <c r="E22" s="82"/>
      <c r="F22" s="82"/>
      <c r="G22" s="83"/>
      <c r="H22" s="51"/>
    </row>
    <row r="23" spans="1:8" ht="18.75" x14ac:dyDescent="0.25">
      <c r="A23" s="81" t="s">
        <v>34</v>
      </c>
      <c r="B23" s="82"/>
      <c r="C23" s="83"/>
      <c r="D23" s="4"/>
      <c r="E23" s="4"/>
      <c r="F23" s="4"/>
      <c r="G23" s="4"/>
      <c r="H23" s="51"/>
    </row>
    <row r="24" spans="1:8" ht="18.75" x14ac:dyDescent="0.3">
      <c r="A24" s="5" t="s">
        <v>57</v>
      </c>
      <c r="B24" s="98" t="s">
        <v>56</v>
      </c>
      <c r="C24" s="99"/>
      <c r="D24" s="15">
        <f>10.6-2.76-2</f>
        <v>5.84</v>
      </c>
      <c r="E24" s="15">
        <f>3.9+2+1.1</f>
        <v>7</v>
      </c>
      <c r="F24" s="15">
        <f>72.5-13+2.56-8</f>
        <v>54.06</v>
      </c>
      <c r="G24" s="15">
        <f>302.6-0.36</f>
        <v>302.24</v>
      </c>
      <c r="H24" s="19">
        <v>175</v>
      </c>
    </row>
    <row r="25" spans="1:8" ht="18.75" x14ac:dyDescent="0.3">
      <c r="A25" s="42" t="s">
        <v>79</v>
      </c>
      <c r="B25" s="53">
        <v>100</v>
      </c>
      <c r="C25" s="53">
        <v>30</v>
      </c>
      <c r="D25" s="7">
        <v>5.81</v>
      </c>
      <c r="E25" s="7">
        <v>8.1</v>
      </c>
      <c r="F25" s="7">
        <v>74.62</v>
      </c>
      <c r="G25" s="7">
        <v>394.64</v>
      </c>
      <c r="H25" s="19">
        <v>429</v>
      </c>
    </row>
    <row r="26" spans="1:8" ht="18.75" x14ac:dyDescent="0.3">
      <c r="A26" s="42" t="s">
        <v>69</v>
      </c>
      <c r="B26" s="90" t="s">
        <v>56</v>
      </c>
      <c r="C26" s="91"/>
      <c r="D26" s="7">
        <v>1.7</v>
      </c>
      <c r="E26" s="7">
        <v>1.3</v>
      </c>
      <c r="F26" s="7">
        <v>17.399999999999999</v>
      </c>
      <c r="G26" s="7">
        <v>88</v>
      </c>
      <c r="H26" s="19" t="s">
        <v>63</v>
      </c>
    </row>
    <row r="27" spans="1:8" s="33" customFormat="1" x14ac:dyDescent="0.25">
      <c r="A27" s="9" t="s">
        <v>10</v>
      </c>
      <c r="B27" s="10">
        <v>500</v>
      </c>
      <c r="C27" s="10">
        <v>430</v>
      </c>
      <c r="D27" s="10">
        <f>SUM(D24:D26)</f>
        <v>13.349999999999998</v>
      </c>
      <c r="E27" s="10">
        <f>SUM(E24:E26)</f>
        <v>16.399999999999999</v>
      </c>
      <c r="F27" s="10">
        <f>SUM(F24:F26)</f>
        <v>146.08000000000001</v>
      </c>
      <c r="G27" s="10">
        <f>SUM(G24:G26)</f>
        <v>784.88</v>
      </c>
      <c r="H27" s="24"/>
    </row>
    <row r="28" spans="1:8" ht="18.75" x14ac:dyDescent="0.25">
      <c r="A28" s="81" t="s">
        <v>36</v>
      </c>
      <c r="B28" s="82"/>
      <c r="C28" s="82"/>
      <c r="D28" s="82"/>
      <c r="E28" s="82"/>
      <c r="F28" s="82"/>
      <c r="G28" s="83"/>
      <c r="H28" s="51"/>
    </row>
    <row r="29" spans="1:8" ht="18.75" x14ac:dyDescent="0.25">
      <c r="A29" s="39" t="s">
        <v>34</v>
      </c>
      <c r="B29" s="81"/>
      <c r="C29" s="83"/>
      <c r="D29" s="4"/>
      <c r="E29" s="4"/>
      <c r="F29" s="4"/>
      <c r="G29" s="4"/>
      <c r="H29" s="51"/>
    </row>
    <row r="30" spans="1:8" ht="18.75" x14ac:dyDescent="0.3">
      <c r="A30" s="43" t="s">
        <v>51</v>
      </c>
      <c r="B30" s="94">
        <v>150</v>
      </c>
      <c r="C30" s="95"/>
      <c r="D30" s="17">
        <v>3.8</v>
      </c>
      <c r="E30" s="17">
        <v>6.6</v>
      </c>
      <c r="F30" s="17">
        <v>30.1</v>
      </c>
      <c r="G30" s="17">
        <v>194.6</v>
      </c>
      <c r="H30" s="19">
        <v>234</v>
      </c>
    </row>
    <row r="31" spans="1:8" ht="18.75" x14ac:dyDescent="0.3">
      <c r="A31" s="16" t="s">
        <v>80</v>
      </c>
      <c r="B31" s="84">
        <v>100</v>
      </c>
      <c r="C31" s="85"/>
      <c r="D31" s="35">
        <v>2.6</v>
      </c>
      <c r="E31" s="35">
        <v>2.7</v>
      </c>
      <c r="F31" s="35">
        <v>0</v>
      </c>
      <c r="G31" s="35">
        <v>34.6</v>
      </c>
      <c r="H31" s="19" t="s">
        <v>58</v>
      </c>
    </row>
    <row r="32" spans="1:8" ht="18.75" x14ac:dyDescent="0.3">
      <c r="A32" s="42" t="s">
        <v>71</v>
      </c>
      <c r="B32" s="86">
        <v>50</v>
      </c>
      <c r="C32" s="87"/>
      <c r="D32" s="7">
        <v>2.42</v>
      </c>
      <c r="E32" s="7">
        <v>2.5099999999999998</v>
      </c>
      <c r="F32" s="7">
        <v>16.03</v>
      </c>
      <c r="G32" s="7">
        <v>37.22</v>
      </c>
      <c r="H32" s="19">
        <v>428</v>
      </c>
    </row>
    <row r="33" spans="1:8" ht="18.75" x14ac:dyDescent="0.3">
      <c r="A33" s="42" t="s">
        <v>9</v>
      </c>
      <c r="B33" s="101">
        <v>200</v>
      </c>
      <c r="C33" s="102"/>
      <c r="D33" s="7">
        <v>0.17</v>
      </c>
      <c r="E33" s="7">
        <v>0.04</v>
      </c>
      <c r="F33" s="7">
        <v>9.9700000000000006</v>
      </c>
      <c r="G33" s="7">
        <v>40.56</v>
      </c>
      <c r="H33" s="19">
        <v>376</v>
      </c>
    </row>
    <row r="34" spans="1:8" s="30" customFormat="1" x14ac:dyDescent="0.25">
      <c r="A34" s="9" t="s">
        <v>10</v>
      </c>
      <c r="B34" s="103">
        <v>500</v>
      </c>
      <c r="C34" s="104"/>
      <c r="D34" s="10">
        <f>SUM(D30:D33)</f>
        <v>8.99</v>
      </c>
      <c r="E34" s="10">
        <f>SUM(E30:E33)</f>
        <v>11.85</v>
      </c>
      <c r="F34" s="10">
        <f>SUM(F30:F33)</f>
        <v>56.1</v>
      </c>
      <c r="G34" s="10">
        <f>SUM(G30:G33)</f>
        <v>306.97999999999996</v>
      </c>
      <c r="H34" s="24"/>
    </row>
    <row r="35" spans="1:8" ht="18.75" x14ac:dyDescent="0.25">
      <c r="A35" s="81" t="s">
        <v>37</v>
      </c>
      <c r="B35" s="82"/>
      <c r="C35" s="82"/>
      <c r="D35" s="82"/>
      <c r="E35" s="82"/>
      <c r="F35" s="82"/>
      <c r="G35" s="83"/>
      <c r="H35" s="51"/>
    </row>
    <row r="36" spans="1:8" ht="18.75" x14ac:dyDescent="0.25">
      <c r="A36" s="81" t="s">
        <v>34</v>
      </c>
      <c r="B36" s="82"/>
      <c r="C36" s="83"/>
      <c r="D36" s="4"/>
      <c r="E36" s="4"/>
      <c r="F36" s="4"/>
      <c r="G36" s="4"/>
      <c r="H36" s="51"/>
    </row>
    <row r="37" spans="1:8" ht="24" customHeight="1" x14ac:dyDescent="0.3">
      <c r="A37" s="5" t="s">
        <v>30</v>
      </c>
      <c r="B37" s="100">
        <v>150</v>
      </c>
      <c r="C37" s="100"/>
      <c r="D37" s="7">
        <v>6.2</v>
      </c>
      <c r="E37" s="7">
        <v>9.9</v>
      </c>
      <c r="F37" s="7">
        <v>19.2</v>
      </c>
      <c r="G37" s="7">
        <v>189.4</v>
      </c>
      <c r="H37" s="19">
        <v>334</v>
      </c>
    </row>
    <row r="38" spans="1:8" ht="35.25" customHeight="1" x14ac:dyDescent="0.3">
      <c r="A38" s="5" t="s">
        <v>29</v>
      </c>
      <c r="B38" s="77">
        <v>110</v>
      </c>
      <c r="C38" s="78"/>
      <c r="D38" s="13">
        <v>7.081818181818182</v>
      </c>
      <c r="E38" s="13">
        <v>11.6454545454545</v>
      </c>
      <c r="F38" s="13">
        <v>12.727272727272727</v>
      </c>
      <c r="G38" s="13">
        <v>183.69</v>
      </c>
      <c r="H38" s="19">
        <v>128</v>
      </c>
    </row>
    <row r="39" spans="1:8" ht="21" customHeight="1" x14ac:dyDescent="0.3">
      <c r="A39" s="42" t="s">
        <v>71</v>
      </c>
      <c r="B39" s="86">
        <v>50</v>
      </c>
      <c r="C39" s="87"/>
      <c r="D39" s="7">
        <v>2.42</v>
      </c>
      <c r="E39" s="7">
        <v>2.5099999999999998</v>
      </c>
      <c r="F39" s="7">
        <v>16.03</v>
      </c>
      <c r="G39" s="7">
        <v>37.22</v>
      </c>
      <c r="H39" s="19">
        <v>428</v>
      </c>
    </row>
    <row r="40" spans="1:8" ht="22.5" customHeight="1" x14ac:dyDescent="0.3">
      <c r="A40" s="16" t="s">
        <v>18</v>
      </c>
      <c r="B40" s="86">
        <v>200</v>
      </c>
      <c r="C40" s="87"/>
      <c r="D40" s="7">
        <v>0.26</v>
      </c>
      <c r="E40" s="7">
        <v>0.05</v>
      </c>
      <c r="F40" s="7">
        <v>12.26</v>
      </c>
      <c r="G40" s="7">
        <v>49.72</v>
      </c>
      <c r="H40" s="19">
        <v>377</v>
      </c>
    </row>
    <row r="41" spans="1:8" s="30" customFormat="1" x14ac:dyDescent="0.25">
      <c r="A41" s="9" t="s">
        <v>10</v>
      </c>
      <c r="B41" s="88">
        <v>510</v>
      </c>
      <c r="C41" s="89"/>
      <c r="D41" s="4">
        <f>SUM(D37:D40)</f>
        <v>15.961818181818181</v>
      </c>
      <c r="E41" s="4">
        <f>SUM(E37:E40)</f>
        <v>24.105454545454503</v>
      </c>
      <c r="F41" s="4">
        <f>SUM(F37:F40)</f>
        <v>60.217272727272722</v>
      </c>
      <c r="G41" s="4">
        <f>SUM(G37:G40)</f>
        <v>460.03000000000009</v>
      </c>
      <c r="H41" s="24"/>
    </row>
    <row r="42" spans="1:8" ht="18.75" x14ac:dyDescent="0.25">
      <c r="A42" s="81" t="s">
        <v>38</v>
      </c>
      <c r="B42" s="82"/>
      <c r="C42" s="82"/>
      <c r="D42" s="82"/>
      <c r="E42" s="82"/>
      <c r="F42" s="82"/>
      <c r="G42" s="83"/>
      <c r="H42" s="51"/>
    </row>
    <row r="43" spans="1:8" ht="18.75" x14ac:dyDescent="0.25">
      <c r="A43" s="81" t="s">
        <v>34</v>
      </c>
      <c r="B43" s="82"/>
      <c r="C43" s="83"/>
      <c r="D43" s="4"/>
      <c r="E43" s="4"/>
      <c r="F43" s="4"/>
      <c r="G43" s="4"/>
      <c r="H43" s="51"/>
    </row>
    <row r="44" spans="1:8" ht="18.75" x14ac:dyDescent="0.3">
      <c r="A44" s="12" t="s">
        <v>72</v>
      </c>
      <c r="B44" s="98" t="s">
        <v>56</v>
      </c>
      <c r="C44" s="99"/>
      <c r="D44" s="17">
        <f>122/1000*200</f>
        <v>24.4</v>
      </c>
      <c r="E44" s="17">
        <f>78.4/1000*200</f>
        <v>15.680000000000001</v>
      </c>
      <c r="F44" s="17">
        <f>226.3/1000*200</f>
        <v>45.26</v>
      </c>
      <c r="G44" s="17">
        <f>2095/1000*200</f>
        <v>419.00000000000006</v>
      </c>
      <c r="H44" s="19" t="s">
        <v>62</v>
      </c>
    </row>
    <row r="45" spans="1:8" ht="18.75" x14ac:dyDescent="0.3">
      <c r="A45" s="16" t="s">
        <v>73</v>
      </c>
      <c r="B45" s="96">
        <v>100</v>
      </c>
      <c r="C45" s="97"/>
      <c r="D45" s="7">
        <v>5.81</v>
      </c>
      <c r="E45" s="7">
        <v>8.1</v>
      </c>
      <c r="F45" s="7">
        <v>74.62</v>
      </c>
      <c r="G45" s="7">
        <v>394.64</v>
      </c>
      <c r="H45" s="19" t="s">
        <v>61</v>
      </c>
    </row>
    <row r="46" spans="1:8" ht="18.75" x14ac:dyDescent="0.3">
      <c r="A46" s="42" t="s">
        <v>9</v>
      </c>
      <c r="B46" s="77">
        <v>200</v>
      </c>
      <c r="C46" s="78"/>
      <c r="D46" s="7">
        <v>0.17</v>
      </c>
      <c r="E46" s="7">
        <v>0.04</v>
      </c>
      <c r="F46" s="7">
        <v>9.9700000000000006</v>
      </c>
      <c r="G46" s="7">
        <f>40.92-0.36</f>
        <v>40.56</v>
      </c>
      <c r="H46" s="19">
        <v>376</v>
      </c>
    </row>
    <row r="47" spans="1:8" s="30" customFormat="1" x14ac:dyDescent="0.25">
      <c r="A47" s="9" t="s">
        <v>10</v>
      </c>
      <c r="B47" s="88">
        <v>500</v>
      </c>
      <c r="C47" s="89"/>
      <c r="D47" s="4">
        <f>SUM(D44:D46)</f>
        <v>30.38</v>
      </c>
      <c r="E47" s="4">
        <f>SUM(E44:E46)</f>
        <v>23.82</v>
      </c>
      <c r="F47" s="4">
        <f>SUM(F44:F46)</f>
        <v>129.85</v>
      </c>
      <c r="G47" s="4">
        <f>SUM(G44:G46)</f>
        <v>854.2</v>
      </c>
      <c r="H47" s="24"/>
    </row>
    <row r="48" spans="1:8" ht="18.75" x14ac:dyDescent="0.25">
      <c r="A48" s="81" t="s">
        <v>39</v>
      </c>
      <c r="B48" s="82"/>
      <c r="C48" s="82"/>
      <c r="D48" s="82"/>
      <c r="E48" s="82"/>
      <c r="F48" s="82"/>
      <c r="G48" s="82"/>
      <c r="H48" s="83"/>
    </row>
    <row r="49" spans="1:8" ht="18.75" x14ac:dyDescent="0.25">
      <c r="A49" s="81" t="s">
        <v>34</v>
      </c>
      <c r="B49" s="82"/>
      <c r="C49" s="83"/>
      <c r="D49" s="4"/>
      <c r="E49" s="4"/>
      <c r="F49" s="4"/>
      <c r="G49" s="4"/>
      <c r="H49" s="51"/>
    </row>
    <row r="50" spans="1:8" ht="18.75" x14ac:dyDescent="0.3">
      <c r="A50" s="5" t="s">
        <v>24</v>
      </c>
      <c r="B50" s="75">
        <v>150</v>
      </c>
      <c r="C50" s="76"/>
      <c r="D50" s="17">
        <v>2.8</v>
      </c>
      <c r="E50" s="17">
        <v>7.6</v>
      </c>
      <c r="F50" s="17">
        <v>15.6</v>
      </c>
      <c r="G50" s="17">
        <v>142.80000000000001</v>
      </c>
      <c r="H50" s="19">
        <v>105</v>
      </c>
    </row>
    <row r="51" spans="1:8" ht="37.5" x14ac:dyDescent="0.3">
      <c r="A51" s="5" t="s">
        <v>67</v>
      </c>
      <c r="B51" s="77">
        <v>110</v>
      </c>
      <c r="C51" s="78"/>
      <c r="D51" s="13">
        <v>10.44</v>
      </c>
      <c r="E51" s="13">
        <v>7.0299999999999994</v>
      </c>
      <c r="F51" s="13">
        <v>7.6999999999999993</v>
      </c>
      <c r="G51" s="13">
        <v>135.47</v>
      </c>
      <c r="H51" s="19" t="s">
        <v>68</v>
      </c>
    </row>
    <row r="52" spans="1:8" ht="18.75" x14ac:dyDescent="0.3">
      <c r="A52" s="42" t="s">
        <v>15</v>
      </c>
      <c r="B52" s="86">
        <v>40</v>
      </c>
      <c r="C52" s="87"/>
      <c r="D52" s="7">
        <v>3</v>
      </c>
      <c r="E52" s="7">
        <v>0.29600000000000004</v>
      </c>
      <c r="F52" s="7">
        <v>19.399999999999999</v>
      </c>
      <c r="G52" s="7">
        <v>92.4</v>
      </c>
      <c r="H52" s="19" t="s">
        <v>8</v>
      </c>
    </row>
    <row r="53" spans="1:8" ht="18.75" x14ac:dyDescent="0.3">
      <c r="A53" s="16" t="s">
        <v>18</v>
      </c>
      <c r="B53" s="90" t="s">
        <v>56</v>
      </c>
      <c r="C53" s="91"/>
      <c r="D53" s="7">
        <v>0.26</v>
      </c>
      <c r="E53" s="7">
        <v>0.05</v>
      </c>
      <c r="F53" s="7">
        <v>12.26</v>
      </c>
      <c r="G53" s="7">
        <v>49.72</v>
      </c>
      <c r="H53" s="19">
        <v>377</v>
      </c>
    </row>
    <row r="54" spans="1:8" x14ac:dyDescent="0.25">
      <c r="A54" s="9" t="s">
        <v>10</v>
      </c>
      <c r="B54" s="88">
        <v>500</v>
      </c>
      <c r="C54" s="89"/>
      <c r="D54" s="4">
        <f>SUM(D50:D53)</f>
        <v>16.5</v>
      </c>
      <c r="E54" s="4">
        <f>SUM(E50:E53)</f>
        <v>14.975999999999999</v>
      </c>
      <c r="F54" s="4">
        <f>SUM(F50:F53)</f>
        <v>54.959999999999994</v>
      </c>
      <c r="G54" s="4">
        <f>SUM(G50:G53)</f>
        <v>420.39</v>
      </c>
      <c r="H54" s="24"/>
    </row>
    <row r="55" spans="1:8" ht="18.75" x14ac:dyDescent="0.25">
      <c r="A55" s="81" t="s">
        <v>40</v>
      </c>
      <c r="B55" s="82"/>
      <c r="C55" s="82"/>
      <c r="D55" s="82"/>
      <c r="E55" s="82"/>
      <c r="F55" s="82"/>
      <c r="G55" s="83"/>
      <c r="H55" s="51"/>
    </row>
    <row r="56" spans="1:8" ht="25.5" customHeight="1" x14ac:dyDescent="0.25">
      <c r="A56" s="81" t="s">
        <v>34</v>
      </c>
      <c r="B56" s="82"/>
      <c r="C56" s="83"/>
      <c r="D56" s="4"/>
      <c r="E56" s="4"/>
      <c r="F56" s="4"/>
      <c r="G56" s="4"/>
      <c r="H56" s="51"/>
    </row>
    <row r="57" spans="1:8" ht="20.25" customHeight="1" x14ac:dyDescent="0.3">
      <c r="A57" s="5" t="s">
        <v>30</v>
      </c>
      <c r="B57" s="77">
        <v>150</v>
      </c>
      <c r="C57" s="78"/>
      <c r="D57" s="7">
        <v>6.2</v>
      </c>
      <c r="E57" s="7">
        <v>9.9</v>
      </c>
      <c r="F57" s="7">
        <v>19.2</v>
      </c>
      <c r="G57" s="7">
        <v>189.4</v>
      </c>
      <c r="H57" s="19">
        <v>334</v>
      </c>
    </row>
    <row r="58" spans="1:8" ht="19.5" customHeight="1" x14ac:dyDescent="0.3">
      <c r="A58" s="16" t="s">
        <v>81</v>
      </c>
      <c r="B58" s="84">
        <v>110</v>
      </c>
      <c r="C58" s="85"/>
      <c r="D58" s="35">
        <v>5.2</v>
      </c>
      <c r="E58" s="35">
        <v>5.4</v>
      </c>
      <c r="F58" s="35">
        <v>0</v>
      </c>
      <c r="G58" s="35">
        <v>69.2</v>
      </c>
      <c r="H58" s="19" t="s">
        <v>58</v>
      </c>
    </row>
    <row r="59" spans="1:8" ht="21" customHeight="1" x14ac:dyDescent="0.3">
      <c r="A59" s="42" t="s">
        <v>71</v>
      </c>
      <c r="B59" s="86">
        <v>50</v>
      </c>
      <c r="C59" s="87"/>
      <c r="D59" s="7">
        <v>2.42</v>
      </c>
      <c r="E59" s="7">
        <v>2.5099999999999998</v>
      </c>
      <c r="F59" s="7">
        <v>16.03</v>
      </c>
      <c r="G59" s="7">
        <v>37.22</v>
      </c>
      <c r="H59" s="19">
        <v>428</v>
      </c>
    </row>
    <row r="60" spans="1:8" ht="19.5" customHeight="1" x14ac:dyDescent="0.3">
      <c r="A60" s="42" t="s">
        <v>9</v>
      </c>
      <c r="B60" s="86">
        <v>200</v>
      </c>
      <c r="C60" s="87"/>
      <c r="D60" s="7">
        <v>0.17</v>
      </c>
      <c r="E60" s="7">
        <v>0.04</v>
      </c>
      <c r="F60" s="7">
        <v>9.9700000000000006</v>
      </c>
      <c r="G60" s="7">
        <v>40.56</v>
      </c>
      <c r="H60" s="19">
        <v>376</v>
      </c>
    </row>
    <row r="61" spans="1:8" x14ac:dyDescent="0.25">
      <c r="A61" s="9" t="s">
        <v>10</v>
      </c>
      <c r="B61" s="88">
        <v>510</v>
      </c>
      <c r="C61" s="89"/>
      <c r="D61" s="4">
        <f>SUM(D57:D60)</f>
        <v>13.99</v>
      </c>
      <c r="E61" s="4">
        <f>SUM(E57:E60)</f>
        <v>17.850000000000001</v>
      </c>
      <c r="F61" s="4">
        <f>SUM(F57:F60)</f>
        <v>45.2</v>
      </c>
      <c r="G61" s="4">
        <f>SUM(G57:G60)</f>
        <v>336.38000000000005</v>
      </c>
      <c r="H61" s="24"/>
    </row>
    <row r="62" spans="1:8" ht="21.75" customHeight="1" x14ac:dyDescent="0.25">
      <c r="A62" s="81" t="s">
        <v>41</v>
      </c>
      <c r="B62" s="82"/>
      <c r="C62" s="82"/>
      <c r="D62" s="82"/>
      <c r="E62" s="82"/>
      <c r="F62" s="82"/>
      <c r="G62" s="83"/>
      <c r="H62" s="51"/>
    </row>
    <row r="63" spans="1:8" ht="18.75" x14ac:dyDescent="0.25">
      <c r="A63" s="81" t="s">
        <v>34</v>
      </c>
      <c r="B63" s="82"/>
      <c r="C63" s="83"/>
      <c r="D63" s="4"/>
      <c r="E63" s="4"/>
      <c r="F63" s="4"/>
      <c r="G63" s="4"/>
      <c r="H63" s="51"/>
    </row>
    <row r="64" spans="1:8" ht="18.75" x14ac:dyDescent="0.3">
      <c r="A64" s="43" t="s">
        <v>51</v>
      </c>
      <c r="B64" s="94">
        <v>150</v>
      </c>
      <c r="C64" s="95"/>
      <c r="D64" s="17">
        <v>3.8</v>
      </c>
      <c r="E64" s="17">
        <v>6.6</v>
      </c>
      <c r="F64" s="17">
        <v>30.1</v>
      </c>
      <c r="G64" s="17">
        <v>191.6</v>
      </c>
      <c r="H64" s="19">
        <v>234</v>
      </c>
    </row>
    <row r="65" spans="1:8" ht="18.75" x14ac:dyDescent="0.3">
      <c r="A65" s="43" t="s">
        <v>19</v>
      </c>
      <c r="B65" s="79">
        <v>110</v>
      </c>
      <c r="C65" s="80"/>
      <c r="D65" s="17">
        <v>7.8090909090909086</v>
      </c>
      <c r="E65" s="17">
        <v>7.6999999999999993</v>
      </c>
      <c r="F65" s="17">
        <v>8.0909090909090917</v>
      </c>
      <c r="G65" s="17">
        <v>132.54</v>
      </c>
      <c r="H65" s="19" t="s">
        <v>27</v>
      </c>
    </row>
    <row r="66" spans="1:8" ht="18.75" x14ac:dyDescent="0.3">
      <c r="A66" s="42" t="s">
        <v>15</v>
      </c>
      <c r="B66" s="86">
        <v>40</v>
      </c>
      <c r="C66" s="87"/>
      <c r="D66" s="7">
        <v>3</v>
      </c>
      <c r="E66" s="7">
        <v>0.29600000000000004</v>
      </c>
      <c r="F66" s="7">
        <v>19.399999999999999</v>
      </c>
      <c r="G66" s="7">
        <v>92.4</v>
      </c>
      <c r="H66" s="19" t="s">
        <v>8</v>
      </c>
    </row>
    <row r="67" spans="1:8" ht="18.75" x14ac:dyDescent="0.3">
      <c r="A67" s="16" t="s">
        <v>18</v>
      </c>
      <c r="B67" s="86">
        <v>200</v>
      </c>
      <c r="C67" s="87"/>
      <c r="D67" s="7">
        <v>0.26</v>
      </c>
      <c r="E67" s="7">
        <v>0.05</v>
      </c>
      <c r="F67" s="7">
        <v>12.26</v>
      </c>
      <c r="G67" s="7">
        <v>49.72</v>
      </c>
      <c r="H67" s="19">
        <v>377</v>
      </c>
    </row>
    <row r="68" spans="1:8" x14ac:dyDescent="0.25">
      <c r="A68" s="9" t="s">
        <v>10</v>
      </c>
      <c r="B68" s="88">
        <f>SUM(B64:C67)</f>
        <v>500</v>
      </c>
      <c r="C68" s="89"/>
      <c r="D68" s="4">
        <f>SUM(D64:D67)</f>
        <v>14.869090909090909</v>
      </c>
      <c r="E68" s="4">
        <f>SUM(E64:E67)</f>
        <v>14.645999999999999</v>
      </c>
      <c r="F68" s="4">
        <f>SUM(F64:F67)</f>
        <v>69.850909090909099</v>
      </c>
      <c r="G68" s="4">
        <f>SUM(G64:G67)</f>
        <v>466.26</v>
      </c>
      <c r="H68" s="24"/>
    </row>
    <row r="69" spans="1:8" ht="18.75" x14ac:dyDescent="0.25">
      <c r="A69" s="81" t="s">
        <v>42</v>
      </c>
      <c r="B69" s="82"/>
      <c r="C69" s="82"/>
      <c r="D69" s="82"/>
      <c r="E69" s="82"/>
      <c r="F69" s="82"/>
      <c r="G69" s="82"/>
      <c r="H69" s="83"/>
    </row>
    <row r="70" spans="1:8" ht="18.75" x14ac:dyDescent="0.25">
      <c r="A70" s="50" t="s">
        <v>43</v>
      </c>
      <c r="B70" s="81"/>
      <c r="C70" s="83"/>
      <c r="D70" s="4"/>
      <c r="E70" s="4"/>
      <c r="F70" s="4"/>
      <c r="G70" s="4"/>
      <c r="H70" s="51"/>
    </row>
    <row r="71" spans="1:8" ht="18.75" x14ac:dyDescent="0.3">
      <c r="A71" s="42" t="s">
        <v>12</v>
      </c>
      <c r="B71" s="86">
        <v>110</v>
      </c>
      <c r="C71" s="87"/>
      <c r="D71" s="7">
        <v>8.5</v>
      </c>
      <c r="E71" s="7">
        <v>5.4545454545454497</v>
      </c>
      <c r="F71" s="7">
        <v>9.4545454545454994</v>
      </c>
      <c r="G71" s="7">
        <v>120.54</v>
      </c>
      <c r="H71" s="19" t="s">
        <v>26</v>
      </c>
    </row>
    <row r="72" spans="1:8" ht="18.75" x14ac:dyDescent="0.3">
      <c r="A72" s="42" t="s">
        <v>11</v>
      </c>
      <c r="B72" s="86">
        <v>150</v>
      </c>
      <c r="C72" s="87"/>
      <c r="D72" s="7">
        <v>4.9000000000000004</v>
      </c>
      <c r="E72" s="7">
        <v>9.6</v>
      </c>
      <c r="F72" s="7">
        <v>11.9</v>
      </c>
      <c r="G72" s="7">
        <v>152.9</v>
      </c>
      <c r="H72" s="19">
        <v>171</v>
      </c>
    </row>
    <row r="73" spans="1:8" ht="18.75" x14ac:dyDescent="0.3">
      <c r="A73" s="42" t="s">
        <v>15</v>
      </c>
      <c r="B73" s="86">
        <v>40</v>
      </c>
      <c r="C73" s="87"/>
      <c r="D73" s="7">
        <v>3</v>
      </c>
      <c r="E73" s="7">
        <v>0.29600000000000004</v>
      </c>
      <c r="F73" s="7">
        <v>19.399999999999999</v>
      </c>
      <c r="G73" s="7">
        <v>92.4</v>
      </c>
      <c r="H73" s="19" t="s">
        <v>8</v>
      </c>
    </row>
    <row r="74" spans="1:8" ht="18.75" x14ac:dyDescent="0.3">
      <c r="A74" s="42" t="s">
        <v>9</v>
      </c>
      <c r="B74" s="77">
        <v>200</v>
      </c>
      <c r="C74" s="78"/>
      <c r="D74" s="7">
        <v>0.17</v>
      </c>
      <c r="E74" s="7">
        <v>0.04</v>
      </c>
      <c r="F74" s="7">
        <v>9.9700000000000006</v>
      </c>
      <c r="G74" s="7">
        <v>40.56</v>
      </c>
      <c r="H74" s="19">
        <v>376</v>
      </c>
    </row>
    <row r="75" spans="1:8" x14ac:dyDescent="0.25">
      <c r="A75" s="9" t="s">
        <v>10</v>
      </c>
      <c r="B75" s="92">
        <v>500</v>
      </c>
      <c r="C75" s="93"/>
      <c r="D75" s="4">
        <f>SUM(D71:D74)</f>
        <v>16.57</v>
      </c>
      <c r="E75" s="4">
        <f>SUM(E71:E74)</f>
        <v>15.390545454545448</v>
      </c>
      <c r="F75" s="4">
        <f>SUM(F71:F74)</f>
        <v>50.724545454545499</v>
      </c>
      <c r="G75" s="4">
        <f>SUM(G71:G74)</f>
        <v>406.40000000000003</v>
      </c>
      <c r="H75" s="24"/>
    </row>
    <row r="91" spans="3:8" ht="15" x14ac:dyDescent="0.25">
      <c r="C91" s="28"/>
      <c r="D91" s="28"/>
      <c r="E91" s="28"/>
      <c r="F91" s="28"/>
      <c r="G91" s="28"/>
      <c r="H91" s="28"/>
    </row>
    <row r="92" spans="3:8" ht="15" x14ac:dyDescent="0.25">
      <c r="C92" s="28"/>
      <c r="D92" s="28"/>
      <c r="E92" s="28"/>
      <c r="F92" s="28"/>
      <c r="G92" s="28"/>
      <c r="H92" s="28"/>
    </row>
    <row r="101" spans="3:8" ht="15" x14ac:dyDescent="0.25">
      <c r="C101" s="28"/>
      <c r="D101" s="28"/>
      <c r="E101" s="28"/>
      <c r="F101" s="28"/>
      <c r="G101" s="28"/>
      <c r="H101" s="28"/>
    </row>
  </sheetData>
  <mergeCells count="75">
    <mergeCell ref="A9:G9"/>
    <mergeCell ref="A10:C10"/>
    <mergeCell ref="B11:C11"/>
    <mergeCell ref="B12:C12"/>
    <mergeCell ref="B13:C13"/>
    <mergeCell ref="A2:H2"/>
    <mergeCell ref="A4:A8"/>
    <mergeCell ref="B4:C4"/>
    <mergeCell ref="H4:H8"/>
    <mergeCell ref="B5:C8"/>
    <mergeCell ref="D5:F5"/>
    <mergeCell ref="G5:G8"/>
    <mergeCell ref="D6:D8"/>
    <mergeCell ref="E6:E8"/>
    <mergeCell ref="F6:F8"/>
    <mergeCell ref="A15:G15"/>
    <mergeCell ref="A16:C16"/>
    <mergeCell ref="B17:C17"/>
    <mergeCell ref="B18:C18"/>
    <mergeCell ref="B14:C14"/>
    <mergeCell ref="B26:C26"/>
    <mergeCell ref="A22:G22"/>
    <mergeCell ref="A23:C23"/>
    <mergeCell ref="B24:C24"/>
    <mergeCell ref="B19:C19"/>
    <mergeCell ref="B20:C20"/>
    <mergeCell ref="B21:C21"/>
    <mergeCell ref="A35:G35"/>
    <mergeCell ref="B33:C33"/>
    <mergeCell ref="B34:C34"/>
    <mergeCell ref="A28:G28"/>
    <mergeCell ref="B29:C29"/>
    <mergeCell ref="B30:C30"/>
    <mergeCell ref="B31:C31"/>
    <mergeCell ref="B32:C32"/>
    <mergeCell ref="A36:C36"/>
    <mergeCell ref="B37:C37"/>
    <mergeCell ref="B40:C40"/>
    <mergeCell ref="B39:C39"/>
    <mergeCell ref="B41:C41"/>
    <mergeCell ref="B38:C38"/>
    <mergeCell ref="A49:C49"/>
    <mergeCell ref="A42:G42"/>
    <mergeCell ref="A43:C43"/>
    <mergeCell ref="B46:C46"/>
    <mergeCell ref="B45:C45"/>
    <mergeCell ref="B47:C47"/>
    <mergeCell ref="B44:C44"/>
    <mergeCell ref="A48:H48"/>
    <mergeCell ref="B75:C75"/>
    <mergeCell ref="A69:H69"/>
    <mergeCell ref="B70:C70"/>
    <mergeCell ref="B67:C67"/>
    <mergeCell ref="A62:G62"/>
    <mergeCell ref="A63:C63"/>
    <mergeCell ref="B64:C64"/>
    <mergeCell ref="B66:C66"/>
    <mergeCell ref="B68:C68"/>
    <mergeCell ref="B72:C72"/>
    <mergeCell ref="B71:C71"/>
    <mergeCell ref="B74:C74"/>
    <mergeCell ref="B73:C73"/>
    <mergeCell ref="B50:C50"/>
    <mergeCell ref="B51:C51"/>
    <mergeCell ref="B65:C65"/>
    <mergeCell ref="A56:C56"/>
    <mergeCell ref="B57:C57"/>
    <mergeCell ref="B58:C58"/>
    <mergeCell ref="B59:C59"/>
    <mergeCell ref="B60:C60"/>
    <mergeCell ref="B61:C61"/>
    <mergeCell ref="A55:G55"/>
    <mergeCell ref="B53:C53"/>
    <mergeCell ref="B54:C54"/>
    <mergeCell ref="B52:C52"/>
  </mergeCells>
  <pageMargins left="0.7" right="0.7" top="0.75" bottom="0.75" header="0.3" footer="0.3"/>
  <pageSetup paperSize="9" scale="9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C221"/>
  <sheetViews>
    <sheetView tabSelected="1" topLeftCell="A93" workbookViewId="0">
      <selection activeCell="A37" sqref="A37"/>
    </sheetView>
  </sheetViews>
  <sheetFormatPr defaultRowHeight="15.75" x14ac:dyDescent="0.25"/>
  <cols>
    <col min="1" max="1" width="57.85546875" style="28" customWidth="1"/>
    <col min="2" max="2" width="10" style="28" customWidth="1"/>
    <col min="3" max="3" width="9" style="49" customWidth="1"/>
    <col min="4" max="4" width="9.7109375" style="31" customWidth="1"/>
    <col min="5" max="6" width="10.7109375" style="31" customWidth="1"/>
    <col min="7" max="7" width="13" style="31" customWidth="1"/>
    <col min="8" max="8" width="18.140625" style="48" customWidth="1"/>
    <col min="9" max="29" width="9.140625" style="28" hidden="1" customWidth="1"/>
    <col min="30" max="30" width="9.140625" style="28" customWidth="1"/>
    <col min="31" max="31" width="9.140625" style="28"/>
    <col min="32" max="32" width="10.140625" style="28" customWidth="1"/>
    <col min="33" max="33" width="12.28515625" style="28" customWidth="1"/>
    <col min="34" max="36" width="0" style="28" hidden="1" customWidth="1"/>
    <col min="37" max="37" width="9.7109375" style="28" customWidth="1"/>
    <col min="38" max="39" width="10.7109375" style="28" customWidth="1"/>
    <col min="40" max="40" width="11.85546875" style="28" customWidth="1"/>
    <col min="41" max="41" width="0" style="28" hidden="1" customWidth="1"/>
    <col min="42" max="42" width="9.140625" style="28" customWidth="1"/>
    <col min="43" max="43" width="8" style="28" customWidth="1"/>
    <col min="44" max="44" width="7.5703125" style="28" customWidth="1"/>
    <col min="45" max="45" width="9" style="28" customWidth="1"/>
    <col min="46" max="48" width="9.140625" style="28" customWidth="1"/>
    <col min="49" max="54" width="0" style="28" hidden="1" customWidth="1"/>
    <col min="55" max="285" width="9.140625" style="28"/>
    <col min="286" max="286" width="7.85546875" style="28" customWidth="1"/>
    <col min="287" max="287" width="57.85546875" style="28" customWidth="1"/>
    <col min="288" max="288" width="10.140625" style="28" customWidth="1"/>
    <col min="289" max="289" width="12.28515625" style="28" customWidth="1"/>
    <col min="290" max="292" width="0" style="28" hidden="1" customWidth="1"/>
    <col min="293" max="293" width="9.7109375" style="28" customWidth="1"/>
    <col min="294" max="295" width="10.7109375" style="28" customWidth="1"/>
    <col min="296" max="296" width="11.85546875" style="28" customWidth="1"/>
    <col min="297" max="297" width="0" style="28" hidden="1" customWidth="1"/>
    <col min="298" max="298" width="9.140625" style="28" customWidth="1"/>
    <col min="299" max="299" width="8" style="28" customWidth="1"/>
    <col min="300" max="300" width="7.5703125" style="28" customWidth="1"/>
    <col min="301" max="301" width="9" style="28" customWidth="1"/>
    <col min="302" max="304" width="9.140625" style="28" customWidth="1"/>
    <col min="305" max="310" width="0" style="28" hidden="1" customWidth="1"/>
    <col min="311" max="541" width="9.140625" style="28"/>
    <col min="542" max="542" width="7.85546875" style="28" customWidth="1"/>
    <col min="543" max="543" width="57.85546875" style="28" customWidth="1"/>
    <col min="544" max="544" width="10.140625" style="28" customWidth="1"/>
    <col min="545" max="545" width="12.28515625" style="28" customWidth="1"/>
    <col min="546" max="548" width="0" style="28" hidden="1" customWidth="1"/>
    <col min="549" max="549" width="9.7109375" style="28" customWidth="1"/>
    <col min="550" max="551" width="10.7109375" style="28" customWidth="1"/>
    <col min="552" max="552" width="11.85546875" style="28" customWidth="1"/>
    <col min="553" max="553" width="0" style="28" hidden="1" customWidth="1"/>
    <col min="554" max="554" width="9.140625" style="28" customWidth="1"/>
    <col min="555" max="555" width="8" style="28" customWidth="1"/>
    <col min="556" max="556" width="7.5703125" style="28" customWidth="1"/>
    <col min="557" max="557" width="9" style="28" customWidth="1"/>
    <col min="558" max="560" width="9.140625" style="28" customWidth="1"/>
    <col min="561" max="566" width="0" style="28" hidden="1" customWidth="1"/>
    <col min="567" max="797" width="9.140625" style="28"/>
    <col min="798" max="798" width="7.85546875" style="28" customWidth="1"/>
    <col min="799" max="799" width="57.85546875" style="28" customWidth="1"/>
    <col min="800" max="800" width="10.140625" style="28" customWidth="1"/>
    <col min="801" max="801" width="12.28515625" style="28" customWidth="1"/>
    <col min="802" max="804" width="0" style="28" hidden="1" customWidth="1"/>
    <col min="805" max="805" width="9.7109375" style="28" customWidth="1"/>
    <col min="806" max="807" width="10.7109375" style="28" customWidth="1"/>
    <col min="808" max="808" width="11.85546875" style="28" customWidth="1"/>
    <col min="809" max="809" width="0" style="28" hidden="1" customWidth="1"/>
    <col min="810" max="810" width="9.140625" style="28" customWidth="1"/>
    <col min="811" max="811" width="8" style="28" customWidth="1"/>
    <col min="812" max="812" width="7.5703125" style="28" customWidth="1"/>
    <col min="813" max="813" width="9" style="28" customWidth="1"/>
    <col min="814" max="816" width="9.140625" style="28" customWidth="1"/>
    <col min="817" max="822" width="0" style="28" hidden="1" customWidth="1"/>
    <col min="823" max="1053" width="9.140625" style="28"/>
    <col min="1054" max="1054" width="7.85546875" style="28" customWidth="1"/>
    <col min="1055" max="1055" width="57.85546875" style="28" customWidth="1"/>
    <col min="1056" max="1056" width="10.140625" style="28" customWidth="1"/>
    <col min="1057" max="1057" width="12.28515625" style="28" customWidth="1"/>
    <col min="1058" max="1060" width="0" style="28" hidden="1" customWidth="1"/>
    <col min="1061" max="1061" width="9.7109375" style="28" customWidth="1"/>
    <col min="1062" max="1063" width="10.7109375" style="28" customWidth="1"/>
    <col min="1064" max="1064" width="11.85546875" style="28" customWidth="1"/>
    <col min="1065" max="1065" width="0" style="28" hidden="1" customWidth="1"/>
    <col min="1066" max="1066" width="9.140625" style="28" customWidth="1"/>
    <col min="1067" max="1067" width="8" style="28" customWidth="1"/>
    <col min="1068" max="1068" width="7.5703125" style="28" customWidth="1"/>
    <col min="1069" max="1069" width="9" style="28" customWidth="1"/>
    <col min="1070" max="1072" width="9.140625" style="28" customWidth="1"/>
    <col min="1073" max="1078" width="0" style="28" hidden="1" customWidth="1"/>
    <col min="1079" max="1309" width="9.140625" style="28"/>
    <col min="1310" max="1310" width="7.85546875" style="28" customWidth="1"/>
    <col min="1311" max="1311" width="57.85546875" style="28" customWidth="1"/>
    <col min="1312" max="1312" width="10.140625" style="28" customWidth="1"/>
    <col min="1313" max="1313" width="12.28515625" style="28" customWidth="1"/>
    <col min="1314" max="1316" width="0" style="28" hidden="1" customWidth="1"/>
    <col min="1317" max="1317" width="9.7109375" style="28" customWidth="1"/>
    <col min="1318" max="1319" width="10.7109375" style="28" customWidth="1"/>
    <col min="1320" max="1320" width="11.85546875" style="28" customWidth="1"/>
    <col min="1321" max="1321" width="0" style="28" hidden="1" customWidth="1"/>
    <col min="1322" max="1322" width="9.140625" style="28" customWidth="1"/>
    <col min="1323" max="1323" width="8" style="28" customWidth="1"/>
    <col min="1324" max="1324" width="7.5703125" style="28" customWidth="1"/>
    <col min="1325" max="1325" width="9" style="28" customWidth="1"/>
    <col min="1326" max="1328" width="9.140625" style="28" customWidth="1"/>
    <col min="1329" max="1334" width="0" style="28" hidden="1" customWidth="1"/>
    <col min="1335" max="1565" width="9.140625" style="28"/>
    <col min="1566" max="1566" width="7.85546875" style="28" customWidth="1"/>
    <col min="1567" max="1567" width="57.85546875" style="28" customWidth="1"/>
    <col min="1568" max="1568" width="10.140625" style="28" customWidth="1"/>
    <col min="1569" max="1569" width="12.28515625" style="28" customWidth="1"/>
    <col min="1570" max="1572" width="0" style="28" hidden="1" customWidth="1"/>
    <col min="1573" max="1573" width="9.7109375" style="28" customWidth="1"/>
    <col min="1574" max="1575" width="10.7109375" style="28" customWidth="1"/>
    <col min="1576" max="1576" width="11.85546875" style="28" customWidth="1"/>
    <col min="1577" max="1577" width="0" style="28" hidden="1" customWidth="1"/>
    <col min="1578" max="1578" width="9.140625" style="28" customWidth="1"/>
    <col min="1579" max="1579" width="8" style="28" customWidth="1"/>
    <col min="1580" max="1580" width="7.5703125" style="28" customWidth="1"/>
    <col min="1581" max="1581" width="9" style="28" customWidth="1"/>
    <col min="1582" max="1584" width="9.140625" style="28" customWidth="1"/>
    <col min="1585" max="1590" width="0" style="28" hidden="1" customWidth="1"/>
    <col min="1591" max="1821" width="9.140625" style="28"/>
    <col min="1822" max="1822" width="7.85546875" style="28" customWidth="1"/>
    <col min="1823" max="1823" width="57.85546875" style="28" customWidth="1"/>
    <col min="1824" max="1824" width="10.140625" style="28" customWidth="1"/>
    <col min="1825" max="1825" width="12.28515625" style="28" customWidth="1"/>
    <col min="1826" max="1828" width="0" style="28" hidden="1" customWidth="1"/>
    <col min="1829" max="1829" width="9.7109375" style="28" customWidth="1"/>
    <col min="1830" max="1831" width="10.7109375" style="28" customWidth="1"/>
    <col min="1832" max="1832" width="11.85546875" style="28" customWidth="1"/>
    <col min="1833" max="1833" width="0" style="28" hidden="1" customWidth="1"/>
    <col min="1834" max="1834" width="9.140625" style="28" customWidth="1"/>
    <col min="1835" max="1835" width="8" style="28" customWidth="1"/>
    <col min="1836" max="1836" width="7.5703125" style="28" customWidth="1"/>
    <col min="1837" max="1837" width="9" style="28" customWidth="1"/>
    <col min="1838" max="1840" width="9.140625" style="28" customWidth="1"/>
    <col min="1841" max="1846" width="0" style="28" hidden="1" customWidth="1"/>
    <col min="1847" max="2077" width="9.140625" style="28"/>
    <col min="2078" max="2078" width="7.85546875" style="28" customWidth="1"/>
    <col min="2079" max="2079" width="57.85546875" style="28" customWidth="1"/>
    <col min="2080" max="2080" width="10.140625" style="28" customWidth="1"/>
    <col min="2081" max="2081" width="12.28515625" style="28" customWidth="1"/>
    <col min="2082" max="2084" width="0" style="28" hidden="1" customWidth="1"/>
    <col min="2085" max="2085" width="9.7109375" style="28" customWidth="1"/>
    <col min="2086" max="2087" width="10.7109375" style="28" customWidth="1"/>
    <col min="2088" max="2088" width="11.85546875" style="28" customWidth="1"/>
    <col min="2089" max="2089" width="0" style="28" hidden="1" customWidth="1"/>
    <col min="2090" max="2090" width="9.140625" style="28" customWidth="1"/>
    <col min="2091" max="2091" width="8" style="28" customWidth="1"/>
    <col min="2092" max="2092" width="7.5703125" style="28" customWidth="1"/>
    <col min="2093" max="2093" width="9" style="28" customWidth="1"/>
    <col min="2094" max="2096" width="9.140625" style="28" customWidth="1"/>
    <col min="2097" max="2102" width="0" style="28" hidden="1" customWidth="1"/>
    <col min="2103" max="2333" width="9.140625" style="28"/>
    <col min="2334" max="2334" width="7.85546875" style="28" customWidth="1"/>
    <col min="2335" max="2335" width="57.85546875" style="28" customWidth="1"/>
    <col min="2336" max="2336" width="10.140625" style="28" customWidth="1"/>
    <col min="2337" max="2337" width="12.28515625" style="28" customWidth="1"/>
    <col min="2338" max="2340" width="0" style="28" hidden="1" customWidth="1"/>
    <col min="2341" max="2341" width="9.7109375" style="28" customWidth="1"/>
    <col min="2342" max="2343" width="10.7109375" style="28" customWidth="1"/>
    <col min="2344" max="2344" width="11.85546875" style="28" customWidth="1"/>
    <col min="2345" max="2345" width="0" style="28" hidden="1" customWidth="1"/>
    <col min="2346" max="2346" width="9.140625" style="28" customWidth="1"/>
    <col min="2347" max="2347" width="8" style="28" customWidth="1"/>
    <col min="2348" max="2348" width="7.5703125" style="28" customWidth="1"/>
    <col min="2349" max="2349" width="9" style="28" customWidth="1"/>
    <col min="2350" max="2352" width="9.140625" style="28" customWidth="1"/>
    <col min="2353" max="2358" width="0" style="28" hidden="1" customWidth="1"/>
    <col min="2359" max="2589" width="9.140625" style="28"/>
    <col min="2590" max="2590" width="7.85546875" style="28" customWidth="1"/>
    <col min="2591" max="2591" width="57.85546875" style="28" customWidth="1"/>
    <col min="2592" max="2592" width="10.140625" style="28" customWidth="1"/>
    <col min="2593" max="2593" width="12.28515625" style="28" customWidth="1"/>
    <col min="2594" max="2596" width="0" style="28" hidden="1" customWidth="1"/>
    <col min="2597" max="2597" width="9.7109375" style="28" customWidth="1"/>
    <col min="2598" max="2599" width="10.7109375" style="28" customWidth="1"/>
    <col min="2600" max="2600" width="11.85546875" style="28" customWidth="1"/>
    <col min="2601" max="2601" width="0" style="28" hidden="1" customWidth="1"/>
    <col min="2602" max="2602" width="9.140625" style="28" customWidth="1"/>
    <col min="2603" max="2603" width="8" style="28" customWidth="1"/>
    <col min="2604" max="2604" width="7.5703125" style="28" customWidth="1"/>
    <col min="2605" max="2605" width="9" style="28" customWidth="1"/>
    <col min="2606" max="2608" width="9.140625" style="28" customWidth="1"/>
    <col min="2609" max="2614" width="0" style="28" hidden="1" customWidth="1"/>
    <col min="2615" max="2845" width="9.140625" style="28"/>
    <col min="2846" max="2846" width="7.85546875" style="28" customWidth="1"/>
    <col min="2847" max="2847" width="57.85546875" style="28" customWidth="1"/>
    <col min="2848" max="2848" width="10.140625" style="28" customWidth="1"/>
    <col min="2849" max="2849" width="12.28515625" style="28" customWidth="1"/>
    <col min="2850" max="2852" width="0" style="28" hidden="1" customWidth="1"/>
    <col min="2853" max="2853" width="9.7109375" style="28" customWidth="1"/>
    <col min="2854" max="2855" width="10.7109375" style="28" customWidth="1"/>
    <col min="2856" max="2856" width="11.85546875" style="28" customWidth="1"/>
    <col min="2857" max="2857" width="0" style="28" hidden="1" customWidth="1"/>
    <col min="2858" max="2858" width="9.140625" style="28" customWidth="1"/>
    <col min="2859" max="2859" width="8" style="28" customWidth="1"/>
    <col min="2860" max="2860" width="7.5703125" style="28" customWidth="1"/>
    <col min="2861" max="2861" width="9" style="28" customWidth="1"/>
    <col min="2862" max="2864" width="9.140625" style="28" customWidth="1"/>
    <col min="2865" max="2870" width="0" style="28" hidden="1" customWidth="1"/>
    <col min="2871" max="3101" width="9.140625" style="28"/>
    <col min="3102" max="3102" width="7.85546875" style="28" customWidth="1"/>
    <col min="3103" max="3103" width="57.85546875" style="28" customWidth="1"/>
    <col min="3104" max="3104" width="10.140625" style="28" customWidth="1"/>
    <col min="3105" max="3105" width="12.28515625" style="28" customWidth="1"/>
    <col min="3106" max="3108" width="0" style="28" hidden="1" customWidth="1"/>
    <col min="3109" max="3109" width="9.7109375" style="28" customWidth="1"/>
    <col min="3110" max="3111" width="10.7109375" style="28" customWidth="1"/>
    <col min="3112" max="3112" width="11.85546875" style="28" customWidth="1"/>
    <col min="3113" max="3113" width="0" style="28" hidden="1" customWidth="1"/>
    <col min="3114" max="3114" width="9.140625" style="28" customWidth="1"/>
    <col min="3115" max="3115" width="8" style="28" customWidth="1"/>
    <col min="3116" max="3116" width="7.5703125" style="28" customWidth="1"/>
    <col min="3117" max="3117" width="9" style="28" customWidth="1"/>
    <col min="3118" max="3120" width="9.140625" style="28" customWidth="1"/>
    <col min="3121" max="3126" width="0" style="28" hidden="1" customWidth="1"/>
    <col min="3127" max="3357" width="9.140625" style="28"/>
    <col min="3358" max="3358" width="7.85546875" style="28" customWidth="1"/>
    <col min="3359" max="3359" width="57.85546875" style="28" customWidth="1"/>
    <col min="3360" max="3360" width="10.140625" style="28" customWidth="1"/>
    <col min="3361" max="3361" width="12.28515625" style="28" customWidth="1"/>
    <col min="3362" max="3364" width="0" style="28" hidden="1" customWidth="1"/>
    <col min="3365" max="3365" width="9.7109375" style="28" customWidth="1"/>
    <col min="3366" max="3367" width="10.7109375" style="28" customWidth="1"/>
    <col min="3368" max="3368" width="11.85546875" style="28" customWidth="1"/>
    <col min="3369" max="3369" width="0" style="28" hidden="1" customWidth="1"/>
    <col min="3370" max="3370" width="9.140625" style="28" customWidth="1"/>
    <col min="3371" max="3371" width="8" style="28" customWidth="1"/>
    <col min="3372" max="3372" width="7.5703125" style="28" customWidth="1"/>
    <col min="3373" max="3373" width="9" style="28" customWidth="1"/>
    <col min="3374" max="3376" width="9.140625" style="28" customWidth="1"/>
    <col min="3377" max="3382" width="0" style="28" hidden="1" customWidth="1"/>
    <col min="3383" max="3613" width="9.140625" style="28"/>
    <col min="3614" max="3614" width="7.85546875" style="28" customWidth="1"/>
    <col min="3615" max="3615" width="57.85546875" style="28" customWidth="1"/>
    <col min="3616" max="3616" width="10.140625" style="28" customWidth="1"/>
    <col min="3617" max="3617" width="12.28515625" style="28" customWidth="1"/>
    <col min="3618" max="3620" width="0" style="28" hidden="1" customWidth="1"/>
    <col min="3621" max="3621" width="9.7109375" style="28" customWidth="1"/>
    <col min="3622" max="3623" width="10.7109375" style="28" customWidth="1"/>
    <col min="3624" max="3624" width="11.85546875" style="28" customWidth="1"/>
    <col min="3625" max="3625" width="0" style="28" hidden="1" customWidth="1"/>
    <col min="3626" max="3626" width="9.140625" style="28" customWidth="1"/>
    <col min="3627" max="3627" width="8" style="28" customWidth="1"/>
    <col min="3628" max="3628" width="7.5703125" style="28" customWidth="1"/>
    <col min="3629" max="3629" width="9" style="28" customWidth="1"/>
    <col min="3630" max="3632" width="9.140625" style="28" customWidth="1"/>
    <col min="3633" max="3638" width="0" style="28" hidden="1" customWidth="1"/>
    <col min="3639" max="3869" width="9.140625" style="28"/>
    <col min="3870" max="3870" width="7.85546875" style="28" customWidth="1"/>
    <col min="3871" max="3871" width="57.85546875" style="28" customWidth="1"/>
    <col min="3872" max="3872" width="10.140625" style="28" customWidth="1"/>
    <col min="3873" max="3873" width="12.28515625" style="28" customWidth="1"/>
    <col min="3874" max="3876" width="0" style="28" hidden="1" customWidth="1"/>
    <col min="3877" max="3877" width="9.7109375" style="28" customWidth="1"/>
    <col min="3878" max="3879" width="10.7109375" style="28" customWidth="1"/>
    <col min="3880" max="3880" width="11.85546875" style="28" customWidth="1"/>
    <col min="3881" max="3881" width="0" style="28" hidden="1" customWidth="1"/>
    <col min="3882" max="3882" width="9.140625" style="28" customWidth="1"/>
    <col min="3883" max="3883" width="8" style="28" customWidth="1"/>
    <col min="3884" max="3884" width="7.5703125" style="28" customWidth="1"/>
    <col min="3885" max="3885" width="9" style="28" customWidth="1"/>
    <col min="3886" max="3888" width="9.140625" style="28" customWidth="1"/>
    <col min="3889" max="3894" width="0" style="28" hidden="1" customWidth="1"/>
    <col min="3895" max="4125" width="9.140625" style="28"/>
    <col min="4126" max="4126" width="7.85546875" style="28" customWidth="1"/>
    <col min="4127" max="4127" width="57.85546875" style="28" customWidth="1"/>
    <col min="4128" max="4128" width="10.140625" style="28" customWidth="1"/>
    <col min="4129" max="4129" width="12.28515625" style="28" customWidth="1"/>
    <col min="4130" max="4132" width="0" style="28" hidden="1" customWidth="1"/>
    <col min="4133" max="4133" width="9.7109375" style="28" customWidth="1"/>
    <col min="4134" max="4135" width="10.7109375" style="28" customWidth="1"/>
    <col min="4136" max="4136" width="11.85546875" style="28" customWidth="1"/>
    <col min="4137" max="4137" width="0" style="28" hidden="1" customWidth="1"/>
    <col min="4138" max="4138" width="9.140625" style="28" customWidth="1"/>
    <col min="4139" max="4139" width="8" style="28" customWidth="1"/>
    <col min="4140" max="4140" width="7.5703125" style="28" customWidth="1"/>
    <col min="4141" max="4141" width="9" style="28" customWidth="1"/>
    <col min="4142" max="4144" width="9.140625" style="28" customWidth="1"/>
    <col min="4145" max="4150" width="0" style="28" hidden="1" customWidth="1"/>
    <col min="4151" max="4381" width="9.140625" style="28"/>
    <col min="4382" max="4382" width="7.85546875" style="28" customWidth="1"/>
    <col min="4383" max="4383" width="57.85546875" style="28" customWidth="1"/>
    <col min="4384" max="4384" width="10.140625" style="28" customWidth="1"/>
    <col min="4385" max="4385" width="12.28515625" style="28" customWidth="1"/>
    <col min="4386" max="4388" width="0" style="28" hidden="1" customWidth="1"/>
    <col min="4389" max="4389" width="9.7109375" style="28" customWidth="1"/>
    <col min="4390" max="4391" width="10.7109375" style="28" customWidth="1"/>
    <col min="4392" max="4392" width="11.85546875" style="28" customWidth="1"/>
    <col min="4393" max="4393" width="0" style="28" hidden="1" customWidth="1"/>
    <col min="4394" max="4394" width="9.140625" style="28" customWidth="1"/>
    <col min="4395" max="4395" width="8" style="28" customWidth="1"/>
    <col min="4396" max="4396" width="7.5703125" style="28" customWidth="1"/>
    <col min="4397" max="4397" width="9" style="28" customWidth="1"/>
    <col min="4398" max="4400" width="9.140625" style="28" customWidth="1"/>
    <col min="4401" max="4406" width="0" style="28" hidden="1" customWidth="1"/>
    <col min="4407" max="4637" width="9.140625" style="28"/>
    <col min="4638" max="4638" width="7.85546875" style="28" customWidth="1"/>
    <col min="4639" max="4639" width="57.85546875" style="28" customWidth="1"/>
    <col min="4640" max="4640" width="10.140625" style="28" customWidth="1"/>
    <col min="4641" max="4641" width="12.28515625" style="28" customWidth="1"/>
    <col min="4642" max="4644" width="0" style="28" hidden="1" customWidth="1"/>
    <col min="4645" max="4645" width="9.7109375" style="28" customWidth="1"/>
    <col min="4646" max="4647" width="10.7109375" style="28" customWidth="1"/>
    <col min="4648" max="4648" width="11.85546875" style="28" customWidth="1"/>
    <col min="4649" max="4649" width="0" style="28" hidden="1" customWidth="1"/>
    <col min="4650" max="4650" width="9.140625" style="28" customWidth="1"/>
    <col min="4651" max="4651" width="8" style="28" customWidth="1"/>
    <col min="4652" max="4652" width="7.5703125" style="28" customWidth="1"/>
    <col min="4653" max="4653" width="9" style="28" customWidth="1"/>
    <col min="4654" max="4656" width="9.140625" style="28" customWidth="1"/>
    <col min="4657" max="4662" width="0" style="28" hidden="1" customWidth="1"/>
    <col min="4663" max="4893" width="9.140625" style="28"/>
    <col min="4894" max="4894" width="7.85546875" style="28" customWidth="1"/>
    <col min="4895" max="4895" width="57.85546875" style="28" customWidth="1"/>
    <col min="4896" max="4896" width="10.140625" style="28" customWidth="1"/>
    <col min="4897" max="4897" width="12.28515625" style="28" customWidth="1"/>
    <col min="4898" max="4900" width="0" style="28" hidden="1" customWidth="1"/>
    <col min="4901" max="4901" width="9.7109375" style="28" customWidth="1"/>
    <col min="4902" max="4903" width="10.7109375" style="28" customWidth="1"/>
    <col min="4904" max="4904" width="11.85546875" style="28" customWidth="1"/>
    <col min="4905" max="4905" width="0" style="28" hidden="1" customWidth="1"/>
    <col min="4906" max="4906" width="9.140625" style="28" customWidth="1"/>
    <col min="4907" max="4907" width="8" style="28" customWidth="1"/>
    <col min="4908" max="4908" width="7.5703125" style="28" customWidth="1"/>
    <col min="4909" max="4909" width="9" style="28" customWidth="1"/>
    <col min="4910" max="4912" width="9.140625" style="28" customWidth="1"/>
    <col min="4913" max="4918" width="0" style="28" hidden="1" customWidth="1"/>
    <col min="4919" max="5149" width="9.140625" style="28"/>
    <col min="5150" max="5150" width="7.85546875" style="28" customWidth="1"/>
    <col min="5151" max="5151" width="57.85546875" style="28" customWidth="1"/>
    <col min="5152" max="5152" width="10.140625" style="28" customWidth="1"/>
    <col min="5153" max="5153" width="12.28515625" style="28" customWidth="1"/>
    <col min="5154" max="5156" width="0" style="28" hidden="1" customWidth="1"/>
    <col min="5157" max="5157" width="9.7109375" style="28" customWidth="1"/>
    <col min="5158" max="5159" width="10.7109375" style="28" customWidth="1"/>
    <col min="5160" max="5160" width="11.85546875" style="28" customWidth="1"/>
    <col min="5161" max="5161" width="0" style="28" hidden="1" customWidth="1"/>
    <col min="5162" max="5162" width="9.140625" style="28" customWidth="1"/>
    <col min="5163" max="5163" width="8" style="28" customWidth="1"/>
    <col min="5164" max="5164" width="7.5703125" style="28" customWidth="1"/>
    <col min="5165" max="5165" width="9" style="28" customWidth="1"/>
    <col min="5166" max="5168" width="9.140625" style="28" customWidth="1"/>
    <col min="5169" max="5174" width="0" style="28" hidden="1" customWidth="1"/>
    <col min="5175" max="5405" width="9.140625" style="28"/>
    <col min="5406" max="5406" width="7.85546875" style="28" customWidth="1"/>
    <col min="5407" max="5407" width="57.85546875" style="28" customWidth="1"/>
    <col min="5408" max="5408" width="10.140625" style="28" customWidth="1"/>
    <col min="5409" max="5409" width="12.28515625" style="28" customWidth="1"/>
    <col min="5410" max="5412" width="0" style="28" hidden="1" customWidth="1"/>
    <col min="5413" max="5413" width="9.7109375" style="28" customWidth="1"/>
    <col min="5414" max="5415" width="10.7109375" style="28" customWidth="1"/>
    <col min="5416" max="5416" width="11.85546875" style="28" customWidth="1"/>
    <col min="5417" max="5417" width="0" style="28" hidden="1" customWidth="1"/>
    <col min="5418" max="5418" width="9.140625" style="28" customWidth="1"/>
    <col min="5419" max="5419" width="8" style="28" customWidth="1"/>
    <col min="5420" max="5420" width="7.5703125" style="28" customWidth="1"/>
    <col min="5421" max="5421" width="9" style="28" customWidth="1"/>
    <col min="5422" max="5424" width="9.140625" style="28" customWidth="1"/>
    <col min="5425" max="5430" width="0" style="28" hidden="1" customWidth="1"/>
    <col min="5431" max="5661" width="9.140625" style="28"/>
    <col min="5662" max="5662" width="7.85546875" style="28" customWidth="1"/>
    <col min="5663" max="5663" width="57.85546875" style="28" customWidth="1"/>
    <col min="5664" max="5664" width="10.140625" style="28" customWidth="1"/>
    <col min="5665" max="5665" width="12.28515625" style="28" customWidth="1"/>
    <col min="5666" max="5668" width="0" style="28" hidden="1" customWidth="1"/>
    <col min="5669" max="5669" width="9.7109375" style="28" customWidth="1"/>
    <col min="5670" max="5671" width="10.7109375" style="28" customWidth="1"/>
    <col min="5672" max="5672" width="11.85546875" style="28" customWidth="1"/>
    <col min="5673" max="5673" width="0" style="28" hidden="1" customWidth="1"/>
    <col min="5674" max="5674" width="9.140625" style="28" customWidth="1"/>
    <col min="5675" max="5675" width="8" style="28" customWidth="1"/>
    <col min="5676" max="5676" width="7.5703125" style="28" customWidth="1"/>
    <col min="5677" max="5677" width="9" style="28" customWidth="1"/>
    <col min="5678" max="5680" width="9.140625" style="28" customWidth="1"/>
    <col min="5681" max="5686" width="0" style="28" hidden="1" customWidth="1"/>
    <col min="5687" max="5917" width="9.140625" style="28"/>
    <col min="5918" max="5918" width="7.85546875" style="28" customWidth="1"/>
    <col min="5919" max="5919" width="57.85546875" style="28" customWidth="1"/>
    <col min="5920" max="5920" width="10.140625" style="28" customWidth="1"/>
    <col min="5921" max="5921" width="12.28515625" style="28" customWidth="1"/>
    <col min="5922" max="5924" width="0" style="28" hidden="1" customWidth="1"/>
    <col min="5925" max="5925" width="9.7109375" style="28" customWidth="1"/>
    <col min="5926" max="5927" width="10.7109375" style="28" customWidth="1"/>
    <col min="5928" max="5928" width="11.85546875" style="28" customWidth="1"/>
    <col min="5929" max="5929" width="0" style="28" hidden="1" customWidth="1"/>
    <col min="5930" max="5930" width="9.140625" style="28" customWidth="1"/>
    <col min="5931" max="5931" width="8" style="28" customWidth="1"/>
    <col min="5932" max="5932" width="7.5703125" style="28" customWidth="1"/>
    <col min="5933" max="5933" width="9" style="28" customWidth="1"/>
    <col min="5934" max="5936" width="9.140625" style="28" customWidth="1"/>
    <col min="5937" max="5942" width="0" style="28" hidden="1" customWidth="1"/>
    <col min="5943" max="6173" width="9.140625" style="28"/>
    <col min="6174" max="6174" width="7.85546875" style="28" customWidth="1"/>
    <col min="6175" max="6175" width="57.85546875" style="28" customWidth="1"/>
    <col min="6176" max="6176" width="10.140625" style="28" customWidth="1"/>
    <col min="6177" max="6177" width="12.28515625" style="28" customWidth="1"/>
    <col min="6178" max="6180" width="0" style="28" hidden="1" customWidth="1"/>
    <col min="6181" max="6181" width="9.7109375" style="28" customWidth="1"/>
    <col min="6182" max="6183" width="10.7109375" style="28" customWidth="1"/>
    <col min="6184" max="6184" width="11.85546875" style="28" customWidth="1"/>
    <col min="6185" max="6185" width="0" style="28" hidden="1" customWidth="1"/>
    <col min="6186" max="6186" width="9.140625" style="28" customWidth="1"/>
    <col min="6187" max="6187" width="8" style="28" customWidth="1"/>
    <col min="6188" max="6188" width="7.5703125" style="28" customWidth="1"/>
    <col min="6189" max="6189" width="9" style="28" customWidth="1"/>
    <col min="6190" max="6192" width="9.140625" style="28" customWidth="1"/>
    <col min="6193" max="6198" width="0" style="28" hidden="1" customWidth="1"/>
    <col min="6199" max="6429" width="9.140625" style="28"/>
    <col min="6430" max="6430" width="7.85546875" style="28" customWidth="1"/>
    <col min="6431" max="6431" width="57.85546875" style="28" customWidth="1"/>
    <col min="6432" max="6432" width="10.140625" style="28" customWidth="1"/>
    <col min="6433" max="6433" width="12.28515625" style="28" customWidth="1"/>
    <col min="6434" max="6436" width="0" style="28" hidden="1" customWidth="1"/>
    <col min="6437" max="6437" width="9.7109375" style="28" customWidth="1"/>
    <col min="6438" max="6439" width="10.7109375" style="28" customWidth="1"/>
    <col min="6440" max="6440" width="11.85546875" style="28" customWidth="1"/>
    <col min="6441" max="6441" width="0" style="28" hidden="1" customWidth="1"/>
    <col min="6442" max="6442" width="9.140625" style="28" customWidth="1"/>
    <col min="6443" max="6443" width="8" style="28" customWidth="1"/>
    <col min="6444" max="6444" width="7.5703125" style="28" customWidth="1"/>
    <col min="6445" max="6445" width="9" style="28" customWidth="1"/>
    <col min="6446" max="6448" width="9.140625" style="28" customWidth="1"/>
    <col min="6449" max="6454" width="0" style="28" hidden="1" customWidth="1"/>
    <col min="6455" max="6685" width="9.140625" style="28"/>
    <col min="6686" max="6686" width="7.85546875" style="28" customWidth="1"/>
    <col min="6687" max="6687" width="57.85546875" style="28" customWidth="1"/>
    <col min="6688" max="6688" width="10.140625" style="28" customWidth="1"/>
    <col min="6689" max="6689" width="12.28515625" style="28" customWidth="1"/>
    <col min="6690" max="6692" width="0" style="28" hidden="1" customWidth="1"/>
    <col min="6693" max="6693" width="9.7109375" style="28" customWidth="1"/>
    <col min="6694" max="6695" width="10.7109375" style="28" customWidth="1"/>
    <col min="6696" max="6696" width="11.85546875" style="28" customWidth="1"/>
    <col min="6697" max="6697" width="0" style="28" hidden="1" customWidth="1"/>
    <col min="6698" max="6698" width="9.140625" style="28" customWidth="1"/>
    <col min="6699" max="6699" width="8" style="28" customWidth="1"/>
    <col min="6700" max="6700" width="7.5703125" style="28" customWidth="1"/>
    <col min="6701" max="6701" width="9" style="28" customWidth="1"/>
    <col min="6702" max="6704" width="9.140625" style="28" customWidth="1"/>
    <col min="6705" max="6710" width="0" style="28" hidden="1" customWidth="1"/>
    <col min="6711" max="6941" width="9.140625" style="28"/>
    <col min="6942" max="6942" width="7.85546875" style="28" customWidth="1"/>
    <col min="6943" max="6943" width="57.85546875" style="28" customWidth="1"/>
    <col min="6944" max="6944" width="10.140625" style="28" customWidth="1"/>
    <col min="6945" max="6945" width="12.28515625" style="28" customWidth="1"/>
    <col min="6946" max="6948" width="0" style="28" hidden="1" customWidth="1"/>
    <col min="6949" max="6949" width="9.7109375" style="28" customWidth="1"/>
    <col min="6950" max="6951" width="10.7109375" style="28" customWidth="1"/>
    <col min="6952" max="6952" width="11.85546875" style="28" customWidth="1"/>
    <col min="6953" max="6953" width="0" style="28" hidden="1" customWidth="1"/>
    <col min="6954" max="6954" width="9.140625" style="28" customWidth="1"/>
    <col min="6955" max="6955" width="8" style="28" customWidth="1"/>
    <col min="6956" max="6956" width="7.5703125" style="28" customWidth="1"/>
    <col min="6957" max="6957" width="9" style="28" customWidth="1"/>
    <col min="6958" max="6960" width="9.140625" style="28" customWidth="1"/>
    <col min="6961" max="6966" width="0" style="28" hidden="1" customWidth="1"/>
    <col min="6967" max="7197" width="9.140625" style="28"/>
    <col min="7198" max="7198" width="7.85546875" style="28" customWidth="1"/>
    <col min="7199" max="7199" width="57.85546875" style="28" customWidth="1"/>
    <col min="7200" max="7200" width="10.140625" style="28" customWidth="1"/>
    <col min="7201" max="7201" width="12.28515625" style="28" customWidth="1"/>
    <col min="7202" max="7204" width="0" style="28" hidden="1" customWidth="1"/>
    <col min="7205" max="7205" width="9.7109375" style="28" customWidth="1"/>
    <col min="7206" max="7207" width="10.7109375" style="28" customWidth="1"/>
    <col min="7208" max="7208" width="11.85546875" style="28" customWidth="1"/>
    <col min="7209" max="7209" width="0" style="28" hidden="1" customWidth="1"/>
    <col min="7210" max="7210" width="9.140625" style="28" customWidth="1"/>
    <col min="7211" max="7211" width="8" style="28" customWidth="1"/>
    <col min="7212" max="7212" width="7.5703125" style="28" customWidth="1"/>
    <col min="7213" max="7213" width="9" style="28" customWidth="1"/>
    <col min="7214" max="7216" width="9.140625" style="28" customWidth="1"/>
    <col min="7217" max="7222" width="0" style="28" hidden="1" customWidth="1"/>
    <col min="7223" max="7453" width="9.140625" style="28"/>
    <col min="7454" max="7454" width="7.85546875" style="28" customWidth="1"/>
    <col min="7455" max="7455" width="57.85546875" style="28" customWidth="1"/>
    <col min="7456" max="7456" width="10.140625" style="28" customWidth="1"/>
    <col min="7457" max="7457" width="12.28515625" style="28" customWidth="1"/>
    <col min="7458" max="7460" width="0" style="28" hidden="1" customWidth="1"/>
    <col min="7461" max="7461" width="9.7109375" style="28" customWidth="1"/>
    <col min="7462" max="7463" width="10.7109375" style="28" customWidth="1"/>
    <col min="7464" max="7464" width="11.85546875" style="28" customWidth="1"/>
    <col min="7465" max="7465" width="0" style="28" hidden="1" customWidth="1"/>
    <col min="7466" max="7466" width="9.140625" style="28" customWidth="1"/>
    <col min="7467" max="7467" width="8" style="28" customWidth="1"/>
    <col min="7468" max="7468" width="7.5703125" style="28" customWidth="1"/>
    <col min="7469" max="7469" width="9" style="28" customWidth="1"/>
    <col min="7470" max="7472" width="9.140625" style="28" customWidth="1"/>
    <col min="7473" max="7478" width="0" style="28" hidden="1" customWidth="1"/>
    <col min="7479" max="7709" width="9.140625" style="28"/>
    <col min="7710" max="7710" width="7.85546875" style="28" customWidth="1"/>
    <col min="7711" max="7711" width="57.85546875" style="28" customWidth="1"/>
    <col min="7712" max="7712" width="10.140625" style="28" customWidth="1"/>
    <col min="7713" max="7713" width="12.28515625" style="28" customWidth="1"/>
    <col min="7714" max="7716" width="0" style="28" hidden="1" customWidth="1"/>
    <col min="7717" max="7717" width="9.7109375" style="28" customWidth="1"/>
    <col min="7718" max="7719" width="10.7109375" style="28" customWidth="1"/>
    <col min="7720" max="7720" width="11.85546875" style="28" customWidth="1"/>
    <col min="7721" max="7721" width="0" style="28" hidden="1" customWidth="1"/>
    <col min="7722" max="7722" width="9.140625" style="28" customWidth="1"/>
    <col min="7723" max="7723" width="8" style="28" customWidth="1"/>
    <col min="7724" max="7724" width="7.5703125" style="28" customWidth="1"/>
    <col min="7725" max="7725" width="9" style="28" customWidth="1"/>
    <col min="7726" max="7728" width="9.140625" style="28" customWidth="1"/>
    <col min="7729" max="7734" width="0" style="28" hidden="1" customWidth="1"/>
    <col min="7735" max="7965" width="9.140625" style="28"/>
    <col min="7966" max="7966" width="7.85546875" style="28" customWidth="1"/>
    <col min="7967" max="7967" width="57.85546875" style="28" customWidth="1"/>
    <col min="7968" max="7968" width="10.140625" style="28" customWidth="1"/>
    <col min="7969" max="7969" width="12.28515625" style="28" customWidth="1"/>
    <col min="7970" max="7972" width="0" style="28" hidden="1" customWidth="1"/>
    <col min="7973" max="7973" width="9.7109375" style="28" customWidth="1"/>
    <col min="7974" max="7975" width="10.7109375" style="28" customWidth="1"/>
    <col min="7976" max="7976" width="11.85546875" style="28" customWidth="1"/>
    <col min="7977" max="7977" width="0" style="28" hidden="1" customWidth="1"/>
    <col min="7978" max="7978" width="9.140625" style="28" customWidth="1"/>
    <col min="7979" max="7979" width="8" style="28" customWidth="1"/>
    <col min="7980" max="7980" width="7.5703125" style="28" customWidth="1"/>
    <col min="7981" max="7981" width="9" style="28" customWidth="1"/>
    <col min="7982" max="7984" width="9.140625" style="28" customWidth="1"/>
    <col min="7985" max="7990" width="0" style="28" hidden="1" customWidth="1"/>
    <col min="7991" max="8221" width="9.140625" style="28"/>
    <col min="8222" max="8222" width="7.85546875" style="28" customWidth="1"/>
    <col min="8223" max="8223" width="57.85546875" style="28" customWidth="1"/>
    <col min="8224" max="8224" width="10.140625" style="28" customWidth="1"/>
    <col min="8225" max="8225" width="12.28515625" style="28" customWidth="1"/>
    <col min="8226" max="8228" width="0" style="28" hidden="1" customWidth="1"/>
    <col min="8229" max="8229" width="9.7109375" style="28" customWidth="1"/>
    <col min="8230" max="8231" width="10.7109375" style="28" customWidth="1"/>
    <col min="8232" max="8232" width="11.85546875" style="28" customWidth="1"/>
    <col min="8233" max="8233" width="0" style="28" hidden="1" customWidth="1"/>
    <col min="8234" max="8234" width="9.140625" style="28" customWidth="1"/>
    <col min="8235" max="8235" width="8" style="28" customWidth="1"/>
    <col min="8236" max="8236" width="7.5703125" style="28" customWidth="1"/>
    <col min="8237" max="8237" width="9" style="28" customWidth="1"/>
    <col min="8238" max="8240" width="9.140625" style="28" customWidth="1"/>
    <col min="8241" max="8246" width="0" style="28" hidden="1" customWidth="1"/>
    <col min="8247" max="8477" width="9.140625" style="28"/>
    <col min="8478" max="8478" width="7.85546875" style="28" customWidth="1"/>
    <col min="8479" max="8479" width="57.85546875" style="28" customWidth="1"/>
    <col min="8480" max="8480" width="10.140625" style="28" customWidth="1"/>
    <col min="8481" max="8481" width="12.28515625" style="28" customWidth="1"/>
    <col min="8482" max="8484" width="0" style="28" hidden="1" customWidth="1"/>
    <col min="8485" max="8485" width="9.7109375" style="28" customWidth="1"/>
    <col min="8486" max="8487" width="10.7109375" style="28" customWidth="1"/>
    <col min="8488" max="8488" width="11.85546875" style="28" customWidth="1"/>
    <col min="8489" max="8489" width="0" style="28" hidden="1" customWidth="1"/>
    <col min="8490" max="8490" width="9.140625" style="28" customWidth="1"/>
    <col min="8491" max="8491" width="8" style="28" customWidth="1"/>
    <col min="8492" max="8492" width="7.5703125" style="28" customWidth="1"/>
    <col min="8493" max="8493" width="9" style="28" customWidth="1"/>
    <col min="8494" max="8496" width="9.140625" style="28" customWidth="1"/>
    <col min="8497" max="8502" width="0" style="28" hidden="1" customWidth="1"/>
    <col min="8503" max="8733" width="9.140625" style="28"/>
    <col min="8734" max="8734" width="7.85546875" style="28" customWidth="1"/>
    <col min="8735" max="8735" width="57.85546875" style="28" customWidth="1"/>
    <col min="8736" max="8736" width="10.140625" style="28" customWidth="1"/>
    <col min="8737" max="8737" width="12.28515625" style="28" customWidth="1"/>
    <col min="8738" max="8740" width="0" style="28" hidden="1" customWidth="1"/>
    <col min="8741" max="8741" width="9.7109375" style="28" customWidth="1"/>
    <col min="8742" max="8743" width="10.7109375" style="28" customWidth="1"/>
    <col min="8744" max="8744" width="11.85546875" style="28" customWidth="1"/>
    <col min="8745" max="8745" width="0" style="28" hidden="1" customWidth="1"/>
    <col min="8746" max="8746" width="9.140625" style="28" customWidth="1"/>
    <col min="8747" max="8747" width="8" style="28" customWidth="1"/>
    <col min="8748" max="8748" width="7.5703125" style="28" customWidth="1"/>
    <col min="8749" max="8749" width="9" style="28" customWidth="1"/>
    <col min="8750" max="8752" width="9.140625" style="28" customWidth="1"/>
    <col min="8753" max="8758" width="0" style="28" hidden="1" customWidth="1"/>
    <col min="8759" max="8989" width="9.140625" style="28"/>
    <col min="8990" max="8990" width="7.85546875" style="28" customWidth="1"/>
    <col min="8991" max="8991" width="57.85546875" style="28" customWidth="1"/>
    <col min="8992" max="8992" width="10.140625" style="28" customWidth="1"/>
    <col min="8993" max="8993" width="12.28515625" style="28" customWidth="1"/>
    <col min="8994" max="8996" width="0" style="28" hidden="1" customWidth="1"/>
    <col min="8997" max="8997" width="9.7109375" style="28" customWidth="1"/>
    <col min="8998" max="8999" width="10.7109375" style="28" customWidth="1"/>
    <col min="9000" max="9000" width="11.85546875" style="28" customWidth="1"/>
    <col min="9001" max="9001" width="0" style="28" hidden="1" customWidth="1"/>
    <col min="9002" max="9002" width="9.140625" style="28" customWidth="1"/>
    <col min="9003" max="9003" width="8" style="28" customWidth="1"/>
    <col min="9004" max="9004" width="7.5703125" style="28" customWidth="1"/>
    <col min="9005" max="9005" width="9" style="28" customWidth="1"/>
    <col min="9006" max="9008" width="9.140625" style="28" customWidth="1"/>
    <col min="9009" max="9014" width="0" style="28" hidden="1" customWidth="1"/>
    <col min="9015" max="9245" width="9.140625" style="28"/>
    <col min="9246" max="9246" width="7.85546875" style="28" customWidth="1"/>
    <col min="9247" max="9247" width="57.85546875" style="28" customWidth="1"/>
    <col min="9248" max="9248" width="10.140625" style="28" customWidth="1"/>
    <col min="9249" max="9249" width="12.28515625" style="28" customWidth="1"/>
    <col min="9250" max="9252" width="0" style="28" hidden="1" customWidth="1"/>
    <col min="9253" max="9253" width="9.7109375" style="28" customWidth="1"/>
    <col min="9254" max="9255" width="10.7109375" style="28" customWidth="1"/>
    <col min="9256" max="9256" width="11.85546875" style="28" customWidth="1"/>
    <col min="9257" max="9257" width="0" style="28" hidden="1" customWidth="1"/>
    <col min="9258" max="9258" width="9.140625" style="28" customWidth="1"/>
    <col min="9259" max="9259" width="8" style="28" customWidth="1"/>
    <col min="9260" max="9260" width="7.5703125" style="28" customWidth="1"/>
    <col min="9261" max="9261" width="9" style="28" customWidth="1"/>
    <col min="9262" max="9264" width="9.140625" style="28" customWidth="1"/>
    <col min="9265" max="9270" width="0" style="28" hidden="1" customWidth="1"/>
    <col min="9271" max="9501" width="9.140625" style="28"/>
    <col min="9502" max="9502" width="7.85546875" style="28" customWidth="1"/>
    <col min="9503" max="9503" width="57.85546875" style="28" customWidth="1"/>
    <col min="9504" max="9504" width="10.140625" style="28" customWidth="1"/>
    <col min="9505" max="9505" width="12.28515625" style="28" customWidth="1"/>
    <col min="9506" max="9508" width="0" style="28" hidden="1" customWidth="1"/>
    <col min="9509" max="9509" width="9.7109375" style="28" customWidth="1"/>
    <col min="9510" max="9511" width="10.7109375" style="28" customWidth="1"/>
    <col min="9512" max="9512" width="11.85546875" style="28" customWidth="1"/>
    <col min="9513" max="9513" width="0" style="28" hidden="1" customWidth="1"/>
    <col min="9514" max="9514" width="9.140625" style="28" customWidth="1"/>
    <col min="9515" max="9515" width="8" style="28" customWidth="1"/>
    <col min="9516" max="9516" width="7.5703125" style="28" customWidth="1"/>
    <col min="9517" max="9517" width="9" style="28" customWidth="1"/>
    <col min="9518" max="9520" width="9.140625" style="28" customWidth="1"/>
    <col min="9521" max="9526" width="0" style="28" hidden="1" customWidth="1"/>
    <col min="9527" max="9757" width="9.140625" style="28"/>
    <col min="9758" max="9758" width="7.85546875" style="28" customWidth="1"/>
    <col min="9759" max="9759" width="57.85546875" style="28" customWidth="1"/>
    <col min="9760" max="9760" width="10.140625" style="28" customWidth="1"/>
    <col min="9761" max="9761" width="12.28515625" style="28" customWidth="1"/>
    <col min="9762" max="9764" width="0" style="28" hidden="1" customWidth="1"/>
    <col min="9765" max="9765" width="9.7109375" style="28" customWidth="1"/>
    <col min="9766" max="9767" width="10.7109375" style="28" customWidth="1"/>
    <col min="9768" max="9768" width="11.85546875" style="28" customWidth="1"/>
    <col min="9769" max="9769" width="0" style="28" hidden="1" customWidth="1"/>
    <col min="9770" max="9770" width="9.140625" style="28" customWidth="1"/>
    <col min="9771" max="9771" width="8" style="28" customWidth="1"/>
    <col min="9772" max="9772" width="7.5703125" style="28" customWidth="1"/>
    <col min="9773" max="9773" width="9" style="28" customWidth="1"/>
    <col min="9774" max="9776" width="9.140625" style="28" customWidth="1"/>
    <col min="9777" max="9782" width="0" style="28" hidden="1" customWidth="1"/>
    <col min="9783" max="10013" width="9.140625" style="28"/>
    <col min="10014" max="10014" width="7.85546875" style="28" customWidth="1"/>
    <col min="10015" max="10015" width="57.85546875" style="28" customWidth="1"/>
    <col min="10016" max="10016" width="10.140625" style="28" customWidth="1"/>
    <col min="10017" max="10017" width="12.28515625" style="28" customWidth="1"/>
    <col min="10018" max="10020" width="0" style="28" hidden="1" customWidth="1"/>
    <col min="10021" max="10021" width="9.7109375" style="28" customWidth="1"/>
    <col min="10022" max="10023" width="10.7109375" style="28" customWidth="1"/>
    <col min="10024" max="10024" width="11.85546875" style="28" customWidth="1"/>
    <col min="10025" max="10025" width="0" style="28" hidden="1" customWidth="1"/>
    <col min="10026" max="10026" width="9.140625" style="28" customWidth="1"/>
    <col min="10027" max="10027" width="8" style="28" customWidth="1"/>
    <col min="10028" max="10028" width="7.5703125" style="28" customWidth="1"/>
    <col min="10029" max="10029" width="9" style="28" customWidth="1"/>
    <col min="10030" max="10032" width="9.140625" style="28" customWidth="1"/>
    <col min="10033" max="10038" width="0" style="28" hidden="1" customWidth="1"/>
    <col min="10039" max="10269" width="9.140625" style="28"/>
    <col min="10270" max="10270" width="7.85546875" style="28" customWidth="1"/>
    <col min="10271" max="10271" width="57.85546875" style="28" customWidth="1"/>
    <col min="10272" max="10272" width="10.140625" style="28" customWidth="1"/>
    <col min="10273" max="10273" width="12.28515625" style="28" customWidth="1"/>
    <col min="10274" max="10276" width="0" style="28" hidden="1" customWidth="1"/>
    <col min="10277" max="10277" width="9.7109375" style="28" customWidth="1"/>
    <col min="10278" max="10279" width="10.7109375" style="28" customWidth="1"/>
    <col min="10280" max="10280" width="11.85546875" style="28" customWidth="1"/>
    <col min="10281" max="10281" width="0" style="28" hidden="1" customWidth="1"/>
    <col min="10282" max="10282" width="9.140625" style="28" customWidth="1"/>
    <col min="10283" max="10283" width="8" style="28" customWidth="1"/>
    <col min="10284" max="10284" width="7.5703125" style="28" customWidth="1"/>
    <col min="10285" max="10285" width="9" style="28" customWidth="1"/>
    <col min="10286" max="10288" width="9.140625" style="28" customWidth="1"/>
    <col min="10289" max="10294" width="0" style="28" hidden="1" customWidth="1"/>
    <col min="10295" max="10525" width="9.140625" style="28"/>
    <col min="10526" max="10526" width="7.85546875" style="28" customWidth="1"/>
    <col min="10527" max="10527" width="57.85546875" style="28" customWidth="1"/>
    <col min="10528" max="10528" width="10.140625" style="28" customWidth="1"/>
    <col min="10529" max="10529" width="12.28515625" style="28" customWidth="1"/>
    <col min="10530" max="10532" width="0" style="28" hidden="1" customWidth="1"/>
    <col min="10533" max="10533" width="9.7109375" style="28" customWidth="1"/>
    <col min="10534" max="10535" width="10.7109375" style="28" customWidth="1"/>
    <col min="10536" max="10536" width="11.85546875" style="28" customWidth="1"/>
    <col min="10537" max="10537" width="0" style="28" hidden="1" customWidth="1"/>
    <col min="10538" max="10538" width="9.140625" style="28" customWidth="1"/>
    <col min="10539" max="10539" width="8" style="28" customWidth="1"/>
    <col min="10540" max="10540" width="7.5703125" style="28" customWidth="1"/>
    <col min="10541" max="10541" width="9" style="28" customWidth="1"/>
    <col min="10542" max="10544" width="9.140625" style="28" customWidth="1"/>
    <col min="10545" max="10550" width="0" style="28" hidden="1" customWidth="1"/>
    <col min="10551" max="10781" width="9.140625" style="28"/>
    <col min="10782" max="10782" width="7.85546875" style="28" customWidth="1"/>
    <col min="10783" max="10783" width="57.85546875" style="28" customWidth="1"/>
    <col min="10784" max="10784" width="10.140625" style="28" customWidth="1"/>
    <col min="10785" max="10785" width="12.28515625" style="28" customWidth="1"/>
    <col min="10786" max="10788" width="0" style="28" hidden="1" customWidth="1"/>
    <col min="10789" max="10789" width="9.7109375" style="28" customWidth="1"/>
    <col min="10790" max="10791" width="10.7109375" style="28" customWidth="1"/>
    <col min="10792" max="10792" width="11.85546875" style="28" customWidth="1"/>
    <col min="10793" max="10793" width="0" style="28" hidden="1" customWidth="1"/>
    <col min="10794" max="10794" width="9.140625" style="28" customWidth="1"/>
    <col min="10795" max="10795" width="8" style="28" customWidth="1"/>
    <col min="10796" max="10796" width="7.5703125" style="28" customWidth="1"/>
    <col min="10797" max="10797" width="9" style="28" customWidth="1"/>
    <col min="10798" max="10800" width="9.140625" style="28" customWidth="1"/>
    <col min="10801" max="10806" width="0" style="28" hidden="1" customWidth="1"/>
    <col min="10807" max="11037" width="9.140625" style="28"/>
    <col min="11038" max="11038" width="7.85546875" style="28" customWidth="1"/>
    <col min="11039" max="11039" width="57.85546875" style="28" customWidth="1"/>
    <col min="11040" max="11040" width="10.140625" style="28" customWidth="1"/>
    <col min="11041" max="11041" width="12.28515625" style="28" customWidth="1"/>
    <col min="11042" max="11044" width="0" style="28" hidden="1" customWidth="1"/>
    <col min="11045" max="11045" width="9.7109375" style="28" customWidth="1"/>
    <col min="11046" max="11047" width="10.7109375" style="28" customWidth="1"/>
    <col min="11048" max="11048" width="11.85546875" style="28" customWidth="1"/>
    <col min="11049" max="11049" width="0" style="28" hidden="1" customWidth="1"/>
    <col min="11050" max="11050" width="9.140625" style="28" customWidth="1"/>
    <col min="11051" max="11051" width="8" style="28" customWidth="1"/>
    <col min="11052" max="11052" width="7.5703125" style="28" customWidth="1"/>
    <col min="11053" max="11053" width="9" style="28" customWidth="1"/>
    <col min="11054" max="11056" width="9.140625" style="28" customWidth="1"/>
    <col min="11057" max="11062" width="0" style="28" hidden="1" customWidth="1"/>
    <col min="11063" max="11293" width="9.140625" style="28"/>
    <col min="11294" max="11294" width="7.85546875" style="28" customWidth="1"/>
    <col min="11295" max="11295" width="57.85546875" style="28" customWidth="1"/>
    <col min="11296" max="11296" width="10.140625" style="28" customWidth="1"/>
    <col min="11297" max="11297" width="12.28515625" style="28" customWidth="1"/>
    <col min="11298" max="11300" width="0" style="28" hidden="1" customWidth="1"/>
    <col min="11301" max="11301" width="9.7109375" style="28" customWidth="1"/>
    <col min="11302" max="11303" width="10.7109375" style="28" customWidth="1"/>
    <col min="11304" max="11304" width="11.85546875" style="28" customWidth="1"/>
    <col min="11305" max="11305" width="0" style="28" hidden="1" customWidth="1"/>
    <col min="11306" max="11306" width="9.140625" style="28" customWidth="1"/>
    <col min="11307" max="11307" width="8" style="28" customWidth="1"/>
    <col min="11308" max="11308" width="7.5703125" style="28" customWidth="1"/>
    <col min="11309" max="11309" width="9" style="28" customWidth="1"/>
    <col min="11310" max="11312" width="9.140625" style="28" customWidth="1"/>
    <col min="11313" max="11318" width="0" style="28" hidden="1" customWidth="1"/>
    <col min="11319" max="11549" width="9.140625" style="28"/>
    <col min="11550" max="11550" width="7.85546875" style="28" customWidth="1"/>
    <col min="11551" max="11551" width="57.85546875" style="28" customWidth="1"/>
    <col min="11552" max="11552" width="10.140625" style="28" customWidth="1"/>
    <col min="11553" max="11553" width="12.28515625" style="28" customWidth="1"/>
    <col min="11554" max="11556" width="0" style="28" hidden="1" customWidth="1"/>
    <col min="11557" max="11557" width="9.7109375" style="28" customWidth="1"/>
    <col min="11558" max="11559" width="10.7109375" style="28" customWidth="1"/>
    <col min="11560" max="11560" width="11.85546875" style="28" customWidth="1"/>
    <col min="11561" max="11561" width="0" style="28" hidden="1" customWidth="1"/>
    <col min="11562" max="11562" width="9.140625" style="28" customWidth="1"/>
    <col min="11563" max="11563" width="8" style="28" customWidth="1"/>
    <col min="11564" max="11564" width="7.5703125" style="28" customWidth="1"/>
    <col min="11565" max="11565" width="9" style="28" customWidth="1"/>
    <col min="11566" max="11568" width="9.140625" style="28" customWidth="1"/>
    <col min="11569" max="11574" width="0" style="28" hidden="1" customWidth="1"/>
    <col min="11575" max="11805" width="9.140625" style="28"/>
    <col min="11806" max="11806" width="7.85546875" style="28" customWidth="1"/>
    <col min="11807" max="11807" width="57.85546875" style="28" customWidth="1"/>
    <col min="11808" max="11808" width="10.140625" style="28" customWidth="1"/>
    <col min="11809" max="11809" width="12.28515625" style="28" customWidth="1"/>
    <col min="11810" max="11812" width="0" style="28" hidden="1" customWidth="1"/>
    <col min="11813" max="11813" width="9.7109375" style="28" customWidth="1"/>
    <col min="11814" max="11815" width="10.7109375" style="28" customWidth="1"/>
    <col min="11816" max="11816" width="11.85546875" style="28" customWidth="1"/>
    <col min="11817" max="11817" width="0" style="28" hidden="1" customWidth="1"/>
    <col min="11818" max="11818" width="9.140625" style="28" customWidth="1"/>
    <col min="11819" max="11819" width="8" style="28" customWidth="1"/>
    <col min="11820" max="11820" width="7.5703125" style="28" customWidth="1"/>
    <col min="11821" max="11821" width="9" style="28" customWidth="1"/>
    <col min="11822" max="11824" width="9.140625" style="28" customWidth="1"/>
    <col min="11825" max="11830" width="0" style="28" hidden="1" customWidth="1"/>
    <col min="11831" max="12061" width="9.140625" style="28"/>
    <col min="12062" max="12062" width="7.85546875" style="28" customWidth="1"/>
    <col min="12063" max="12063" width="57.85546875" style="28" customWidth="1"/>
    <col min="12064" max="12064" width="10.140625" style="28" customWidth="1"/>
    <col min="12065" max="12065" width="12.28515625" style="28" customWidth="1"/>
    <col min="12066" max="12068" width="0" style="28" hidden="1" customWidth="1"/>
    <col min="12069" max="12069" width="9.7109375" style="28" customWidth="1"/>
    <col min="12070" max="12071" width="10.7109375" style="28" customWidth="1"/>
    <col min="12072" max="12072" width="11.85546875" style="28" customWidth="1"/>
    <col min="12073" max="12073" width="0" style="28" hidden="1" customWidth="1"/>
    <col min="12074" max="12074" width="9.140625" style="28" customWidth="1"/>
    <col min="12075" max="12075" width="8" style="28" customWidth="1"/>
    <col min="12076" max="12076" width="7.5703125" style="28" customWidth="1"/>
    <col min="12077" max="12077" width="9" style="28" customWidth="1"/>
    <col min="12078" max="12080" width="9.140625" style="28" customWidth="1"/>
    <col min="12081" max="12086" width="0" style="28" hidden="1" customWidth="1"/>
    <col min="12087" max="12317" width="9.140625" style="28"/>
    <col min="12318" max="12318" width="7.85546875" style="28" customWidth="1"/>
    <col min="12319" max="12319" width="57.85546875" style="28" customWidth="1"/>
    <col min="12320" max="12320" width="10.140625" style="28" customWidth="1"/>
    <col min="12321" max="12321" width="12.28515625" style="28" customWidth="1"/>
    <col min="12322" max="12324" width="0" style="28" hidden="1" customWidth="1"/>
    <col min="12325" max="12325" width="9.7109375" style="28" customWidth="1"/>
    <col min="12326" max="12327" width="10.7109375" style="28" customWidth="1"/>
    <col min="12328" max="12328" width="11.85546875" style="28" customWidth="1"/>
    <col min="12329" max="12329" width="0" style="28" hidden="1" customWidth="1"/>
    <col min="12330" max="12330" width="9.140625" style="28" customWidth="1"/>
    <col min="12331" max="12331" width="8" style="28" customWidth="1"/>
    <col min="12332" max="12332" width="7.5703125" style="28" customWidth="1"/>
    <col min="12333" max="12333" width="9" style="28" customWidth="1"/>
    <col min="12334" max="12336" width="9.140625" style="28" customWidth="1"/>
    <col min="12337" max="12342" width="0" style="28" hidden="1" customWidth="1"/>
    <col min="12343" max="12573" width="9.140625" style="28"/>
    <col min="12574" max="12574" width="7.85546875" style="28" customWidth="1"/>
    <col min="12575" max="12575" width="57.85546875" style="28" customWidth="1"/>
    <col min="12576" max="12576" width="10.140625" style="28" customWidth="1"/>
    <col min="12577" max="12577" width="12.28515625" style="28" customWidth="1"/>
    <col min="12578" max="12580" width="0" style="28" hidden="1" customWidth="1"/>
    <col min="12581" max="12581" width="9.7109375" style="28" customWidth="1"/>
    <col min="12582" max="12583" width="10.7109375" style="28" customWidth="1"/>
    <col min="12584" max="12584" width="11.85546875" style="28" customWidth="1"/>
    <col min="12585" max="12585" width="0" style="28" hidden="1" customWidth="1"/>
    <col min="12586" max="12586" width="9.140625" style="28" customWidth="1"/>
    <col min="12587" max="12587" width="8" style="28" customWidth="1"/>
    <col min="12588" max="12588" width="7.5703125" style="28" customWidth="1"/>
    <col min="12589" max="12589" width="9" style="28" customWidth="1"/>
    <col min="12590" max="12592" width="9.140625" style="28" customWidth="1"/>
    <col min="12593" max="12598" width="0" style="28" hidden="1" customWidth="1"/>
    <col min="12599" max="12829" width="9.140625" style="28"/>
    <col min="12830" max="12830" width="7.85546875" style="28" customWidth="1"/>
    <col min="12831" max="12831" width="57.85546875" style="28" customWidth="1"/>
    <col min="12832" max="12832" width="10.140625" style="28" customWidth="1"/>
    <col min="12833" max="12833" width="12.28515625" style="28" customWidth="1"/>
    <col min="12834" max="12836" width="0" style="28" hidden="1" customWidth="1"/>
    <col min="12837" max="12837" width="9.7109375" style="28" customWidth="1"/>
    <col min="12838" max="12839" width="10.7109375" style="28" customWidth="1"/>
    <col min="12840" max="12840" width="11.85546875" style="28" customWidth="1"/>
    <col min="12841" max="12841" width="0" style="28" hidden="1" customWidth="1"/>
    <col min="12842" max="12842" width="9.140625" style="28" customWidth="1"/>
    <col min="12843" max="12843" width="8" style="28" customWidth="1"/>
    <col min="12844" max="12844" width="7.5703125" style="28" customWidth="1"/>
    <col min="12845" max="12845" width="9" style="28" customWidth="1"/>
    <col min="12846" max="12848" width="9.140625" style="28" customWidth="1"/>
    <col min="12849" max="12854" width="0" style="28" hidden="1" customWidth="1"/>
    <col min="12855" max="13085" width="9.140625" style="28"/>
    <col min="13086" max="13086" width="7.85546875" style="28" customWidth="1"/>
    <col min="13087" max="13087" width="57.85546875" style="28" customWidth="1"/>
    <col min="13088" max="13088" width="10.140625" style="28" customWidth="1"/>
    <col min="13089" max="13089" width="12.28515625" style="28" customWidth="1"/>
    <col min="13090" max="13092" width="0" style="28" hidden="1" customWidth="1"/>
    <col min="13093" max="13093" width="9.7109375" style="28" customWidth="1"/>
    <col min="13094" max="13095" width="10.7109375" style="28" customWidth="1"/>
    <col min="13096" max="13096" width="11.85546875" style="28" customWidth="1"/>
    <col min="13097" max="13097" width="0" style="28" hidden="1" customWidth="1"/>
    <col min="13098" max="13098" width="9.140625" style="28" customWidth="1"/>
    <col min="13099" max="13099" width="8" style="28" customWidth="1"/>
    <col min="13100" max="13100" width="7.5703125" style="28" customWidth="1"/>
    <col min="13101" max="13101" width="9" style="28" customWidth="1"/>
    <col min="13102" max="13104" width="9.140625" style="28" customWidth="1"/>
    <col min="13105" max="13110" width="0" style="28" hidden="1" customWidth="1"/>
    <col min="13111" max="13341" width="9.140625" style="28"/>
    <col min="13342" max="13342" width="7.85546875" style="28" customWidth="1"/>
    <col min="13343" max="13343" width="57.85546875" style="28" customWidth="1"/>
    <col min="13344" max="13344" width="10.140625" style="28" customWidth="1"/>
    <col min="13345" max="13345" width="12.28515625" style="28" customWidth="1"/>
    <col min="13346" max="13348" width="0" style="28" hidden="1" customWidth="1"/>
    <col min="13349" max="13349" width="9.7109375" style="28" customWidth="1"/>
    <col min="13350" max="13351" width="10.7109375" style="28" customWidth="1"/>
    <col min="13352" max="13352" width="11.85546875" style="28" customWidth="1"/>
    <col min="13353" max="13353" width="0" style="28" hidden="1" customWidth="1"/>
    <col min="13354" max="13354" width="9.140625" style="28" customWidth="1"/>
    <col min="13355" max="13355" width="8" style="28" customWidth="1"/>
    <col min="13356" max="13356" width="7.5703125" style="28" customWidth="1"/>
    <col min="13357" max="13357" width="9" style="28" customWidth="1"/>
    <col min="13358" max="13360" width="9.140625" style="28" customWidth="1"/>
    <col min="13361" max="13366" width="0" style="28" hidden="1" customWidth="1"/>
    <col min="13367" max="13597" width="9.140625" style="28"/>
    <col min="13598" max="13598" width="7.85546875" style="28" customWidth="1"/>
    <col min="13599" max="13599" width="57.85546875" style="28" customWidth="1"/>
    <col min="13600" max="13600" width="10.140625" style="28" customWidth="1"/>
    <col min="13601" max="13601" width="12.28515625" style="28" customWidth="1"/>
    <col min="13602" max="13604" width="0" style="28" hidden="1" customWidth="1"/>
    <col min="13605" max="13605" width="9.7109375" style="28" customWidth="1"/>
    <col min="13606" max="13607" width="10.7109375" style="28" customWidth="1"/>
    <col min="13608" max="13608" width="11.85546875" style="28" customWidth="1"/>
    <col min="13609" max="13609" width="0" style="28" hidden="1" customWidth="1"/>
    <col min="13610" max="13610" width="9.140625" style="28" customWidth="1"/>
    <col min="13611" max="13611" width="8" style="28" customWidth="1"/>
    <col min="13612" max="13612" width="7.5703125" style="28" customWidth="1"/>
    <col min="13613" max="13613" width="9" style="28" customWidth="1"/>
    <col min="13614" max="13616" width="9.140625" style="28" customWidth="1"/>
    <col min="13617" max="13622" width="0" style="28" hidden="1" customWidth="1"/>
    <col min="13623" max="13853" width="9.140625" style="28"/>
    <col min="13854" max="13854" width="7.85546875" style="28" customWidth="1"/>
    <col min="13855" max="13855" width="57.85546875" style="28" customWidth="1"/>
    <col min="13856" max="13856" width="10.140625" style="28" customWidth="1"/>
    <col min="13857" max="13857" width="12.28515625" style="28" customWidth="1"/>
    <col min="13858" max="13860" width="0" style="28" hidden="1" customWidth="1"/>
    <col min="13861" max="13861" width="9.7109375" style="28" customWidth="1"/>
    <col min="13862" max="13863" width="10.7109375" style="28" customWidth="1"/>
    <col min="13864" max="13864" width="11.85546875" style="28" customWidth="1"/>
    <col min="13865" max="13865" width="0" style="28" hidden="1" customWidth="1"/>
    <col min="13866" max="13866" width="9.140625" style="28" customWidth="1"/>
    <col min="13867" max="13867" width="8" style="28" customWidth="1"/>
    <col min="13868" max="13868" width="7.5703125" style="28" customWidth="1"/>
    <col min="13869" max="13869" width="9" style="28" customWidth="1"/>
    <col min="13870" max="13872" width="9.140625" style="28" customWidth="1"/>
    <col min="13873" max="13878" width="0" style="28" hidden="1" customWidth="1"/>
    <col min="13879" max="14109" width="9.140625" style="28"/>
    <col min="14110" max="14110" width="7.85546875" style="28" customWidth="1"/>
    <col min="14111" max="14111" width="57.85546875" style="28" customWidth="1"/>
    <col min="14112" max="14112" width="10.140625" style="28" customWidth="1"/>
    <col min="14113" max="14113" width="12.28515625" style="28" customWidth="1"/>
    <col min="14114" max="14116" width="0" style="28" hidden="1" customWidth="1"/>
    <col min="14117" max="14117" width="9.7109375" style="28" customWidth="1"/>
    <col min="14118" max="14119" width="10.7109375" style="28" customWidth="1"/>
    <col min="14120" max="14120" width="11.85546875" style="28" customWidth="1"/>
    <col min="14121" max="14121" width="0" style="28" hidden="1" customWidth="1"/>
    <col min="14122" max="14122" width="9.140625" style="28" customWidth="1"/>
    <col min="14123" max="14123" width="8" style="28" customWidth="1"/>
    <col min="14124" max="14124" width="7.5703125" style="28" customWidth="1"/>
    <col min="14125" max="14125" width="9" style="28" customWidth="1"/>
    <col min="14126" max="14128" width="9.140625" style="28" customWidth="1"/>
    <col min="14129" max="14134" width="0" style="28" hidden="1" customWidth="1"/>
    <col min="14135" max="14365" width="9.140625" style="28"/>
    <col min="14366" max="14366" width="7.85546875" style="28" customWidth="1"/>
    <col min="14367" max="14367" width="57.85546875" style="28" customWidth="1"/>
    <col min="14368" max="14368" width="10.140625" style="28" customWidth="1"/>
    <col min="14369" max="14369" width="12.28515625" style="28" customWidth="1"/>
    <col min="14370" max="14372" width="0" style="28" hidden="1" customWidth="1"/>
    <col min="14373" max="14373" width="9.7109375" style="28" customWidth="1"/>
    <col min="14374" max="14375" width="10.7109375" style="28" customWidth="1"/>
    <col min="14376" max="14376" width="11.85546875" style="28" customWidth="1"/>
    <col min="14377" max="14377" width="0" style="28" hidden="1" customWidth="1"/>
    <col min="14378" max="14378" width="9.140625" style="28" customWidth="1"/>
    <col min="14379" max="14379" width="8" style="28" customWidth="1"/>
    <col min="14380" max="14380" width="7.5703125" style="28" customWidth="1"/>
    <col min="14381" max="14381" width="9" style="28" customWidth="1"/>
    <col min="14382" max="14384" width="9.140625" style="28" customWidth="1"/>
    <col min="14385" max="14390" width="0" style="28" hidden="1" customWidth="1"/>
    <col min="14391" max="14621" width="9.140625" style="28"/>
    <col min="14622" max="14622" width="7.85546875" style="28" customWidth="1"/>
    <col min="14623" max="14623" width="57.85546875" style="28" customWidth="1"/>
    <col min="14624" max="14624" width="10.140625" style="28" customWidth="1"/>
    <col min="14625" max="14625" width="12.28515625" style="28" customWidth="1"/>
    <col min="14626" max="14628" width="0" style="28" hidden="1" customWidth="1"/>
    <col min="14629" max="14629" width="9.7109375" style="28" customWidth="1"/>
    <col min="14630" max="14631" width="10.7109375" style="28" customWidth="1"/>
    <col min="14632" max="14632" width="11.85546875" style="28" customWidth="1"/>
    <col min="14633" max="14633" width="0" style="28" hidden="1" customWidth="1"/>
    <col min="14634" max="14634" width="9.140625" style="28" customWidth="1"/>
    <col min="14635" max="14635" width="8" style="28" customWidth="1"/>
    <col min="14636" max="14636" width="7.5703125" style="28" customWidth="1"/>
    <col min="14637" max="14637" width="9" style="28" customWidth="1"/>
    <col min="14638" max="14640" width="9.140625" style="28" customWidth="1"/>
    <col min="14641" max="14646" width="0" style="28" hidden="1" customWidth="1"/>
    <col min="14647" max="14877" width="9.140625" style="28"/>
    <col min="14878" max="14878" width="7.85546875" style="28" customWidth="1"/>
    <col min="14879" max="14879" width="57.85546875" style="28" customWidth="1"/>
    <col min="14880" max="14880" width="10.140625" style="28" customWidth="1"/>
    <col min="14881" max="14881" width="12.28515625" style="28" customWidth="1"/>
    <col min="14882" max="14884" width="0" style="28" hidden="1" customWidth="1"/>
    <col min="14885" max="14885" width="9.7109375" style="28" customWidth="1"/>
    <col min="14886" max="14887" width="10.7109375" style="28" customWidth="1"/>
    <col min="14888" max="14888" width="11.85546875" style="28" customWidth="1"/>
    <col min="14889" max="14889" width="0" style="28" hidden="1" customWidth="1"/>
    <col min="14890" max="14890" width="9.140625" style="28" customWidth="1"/>
    <col min="14891" max="14891" width="8" style="28" customWidth="1"/>
    <col min="14892" max="14892" width="7.5703125" style="28" customWidth="1"/>
    <col min="14893" max="14893" width="9" style="28" customWidth="1"/>
    <col min="14894" max="14896" width="9.140625" style="28" customWidth="1"/>
    <col min="14897" max="14902" width="0" style="28" hidden="1" customWidth="1"/>
    <col min="14903" max="15133" width="9.140625" style="28"/>
    <col min="15134" max="15134" width="7.85546875" style="28" customWidth="1"/>
    <col min="15135" max="15135" width="57.85546875" style="28" customWidth="1"/>
    <col min="15136" max="15136" width="10.140625" style="28" customWidth="1"/>
    <col min="15137" max="15137" width="12.28515625" style="28" customWidth="1"/>
    <col min="15138" max="15140" width="0" style="28" hidden="1" customWidth="1"/>
    <col min="15141" max="15141" width="9.7109375" style="28" customWidth="1"/>
    <col min="15142" max="15143" width="10.7109375" style="28" customWidth="1"/>
    <col min="15144" max="15144" width="11.85546875" style="28" customWidth="1"/>
    <col min="15145" max="15145" width="0" style="28" hidden="1" customWidth="1"/>
    <col min="15146" max="15146" width="9.140625" style="28" customWidth="1"/>
    <col min="15147" max="15147" width="8" style="28" customWidth="1"/>
    <col min="15148" max="15148" width="7.5703125" style="28" customWidth="1"/>
    <col min="15149" max="15149" width="9" style="28" customWidth="1"/>
    <col min="15150" max="15152" width="9.140625" style="28" customWidth="1"/>
    <col min="15153" max="15158" width="0" style="28" hidden="1" customWidth="1"/>
    <col min="15159" max="15389" width="9.140625" style="28"/>
    <col min="15390" max="15390" width="7.85546875" style="28" customWidth="1"/>
    <col min="15391" max="15391" width="57.85546875" style="28" customWidth="1"/>
    <col min="15392" max="15392" width="10.140625" style="28" customWidth="1"/>
    <col min="15393" max="15393" width="12.28515625" style="28" customWidth="1"/>
    <col min="15394" max="15396" width="0" style="28" hidden="1" customWidth="1"/>
    <col min="15397" max="15397" width="9.7109375" style="28" customWidth="1"/>
    <col min="15398" max="15399" width="10.7109375" style="28" customWidth="1"/>
    <col min="15400" max="15400" width="11.85546875" style="28" customWidth="1"/>
    <col min="15401" max="15401" width="0" style="28" hidden="1" customWidth="1"/>
    <col min="15402" max="15402" width="9.140625" style="28" customWidth="1"/>
    <col min="15403" max="15403" width="8" style="28" customWidth="1"/>
    <col min="15404" max="15404" width="7.5703125" style="28" customWidth="1"/>
    <col min="15405" max="15405" width="9" style="28" customWidth="1"/>
    <col min="15406" max="15408" width="9.140625" style="28" customWidth="1"/>
    <col min="15409" max="15414" width="0" style="28" hidden="1" customWidth="1"/>
    <col min="15415" max="15645" width="9.140625" style="28"/>
    <col min="15646" max="15646" width="7.85546875" style="28" customWidth="1"/>
    <col min="15647" max="15647" width="57.85546875" style="28" customWidth="1"/>
    <col min="15648" max="15648" width="10.140625" style="28" customWidth="1"/>
    <col min="15649" max="15649" width="12.28515625" style="28" customWidth="1"/>
    <col min="15650" max="15652" width="0" style="28" hidden="1" customWidth="1"/>
    <col min="15653" max="15653" width="9.7109375" style="28" customWidth="1"/>
    <col min="15654" max="15655" width="10.7109375" style="28" customWidth="1"/>
    <col min="15656" max="15656" width="11.85546875" style="28" customWidth="1"/>
    <col min="15657" max="15657" width="0" style="28" hidden="1" customWidth="1"/>
    <col min="15658" max="15658" width="9.140625" style="28" customWidth="1"/>
    <col min="15659" max="15659" width="8" style="28" customWidth="1"/>
    <col min="15660" max="15660" width="7.5703125" style="28" customWidth="1"/>
    <col min="15661" max="15661" width="9" style="28" customWidth="1"/>
    <col min="15662" max="15664" width="9.140625" style="28" customWidth="1"/>
    <col min="15665" max="15670" width="0" style="28" hidden="1" customWidth="1"/>
    <col min="15671" max="15901" width="9.140625" style="28"/>
    <col min="15902" max="15902" width="7.85546875" style="28" customWidth="1"/>
    <col min="15903" max="15903" width="57.85546875" style="28" customWidth="1"/>
    <col min="15904" max="15904" width="10.140625" style="28" customWidth="1"/>
    <col min="15905" max="15905" width="12.28515625" style="28" customWidth="1"/>
    <col min="15906" max="15908" width="0" style="28" hidden="1" customWidth="1"/>
    <col min="15909" max="15909" width="9.7109375" style="28" customWidth="1"/>
    <col min="15910" max="15911" width="10.7109375" style="28" customWidth="1"/>
    <col min="15912" max="15912" width="11.85546875" style="28" customWidth="1"/>
    <col min="15913" max="15913" width="0" style="28" hidden="1" customWidth="1"/>
    <col min="15914" max="15914" width="9.140625" style="28" customWidth="1"/>
    <col min="15915" max="15915" width="8" style="28" customWidth="1"/>
    <col min="15916" max="15916" width="7.5703125" style="28" customWidth="1"/>
    <col min="15917" max="15917" width="9" style="28" customWidth="1"/>
    <col min="15918" max="15920" width="9.140625" style="28" customWidth="1"/>
    <col min="15921" max="15926" width="0" style="28" hidden="1" customWidth="1"/>
    <col min="15927" max="16384" width="9.140625" style="28"/>
  </cols>
  <sheetData>
    <row r="2" spans="1:23" ht="15" customHeight="1" x14ac:dyDescent="0.25">
      <c r="A2" s="128" t="s">
        <v>94</v>
      </c>
      <c r="B2" s="128"/>
      <c r="C2" s="128"/>
      <c r="D2" s="128"/>
      <c r="E2" s="128"/>
      <c r="F2" s="128"/>
      <c r="G2" s="128"/>
      <c r="H2" s="128"/>
    </row>
    <row r="3" spans="1:23" ht="15" x14ac:dyDescent="0.25">
      <c r="A3" s="26"/>
      <c r="B3" s="26"/>
      <c r="C3" s="26"/>
      <c r="D3" s="26"/>
      <c r="E3" s="26"/>
      <c r="F3" s="26"/>
      <c r="G3" s="26"/>
    </row>
    <row r="4" spans="1:23" x14ac:dyDescent="0.25">
      <c r="A4" s="106" t="s">
        <v>1</v>
      </c>
      <c r="B4" s="109"/>
      <c r="C4" s="110"/>
      <c r="D4" s="1"/>
      <c r="E4" s="2"/>
      <c r="F4" s="3"/>
      <c r="G4" s="27"/>
      <c r="H4" s="106" t="s">
        <v>0</v>
      </c>
    </row>
    <row r="5" spans="1:23" x14ac:dyDescent="0.25">
      <c r="A5" s="107"/>
      <c r="B5" s="111" t="s">
        <v>2</v>
      </c>
      <c r="C5" s="112"/>
      <c r="D5" s="115" t="s">
        <v>3</v>
      </c>
      <c r="E5" s="116"/>
      <c r="F5" s="117"/>
      <c r="G5" s="118" t="s">
        <v>4</v>
      </c>
      <c r="H5" s="107"/>
    </row>
    <row r="6" spans="1:23" ht="15" x14ac:dyDescent="0.25">
      <c r="A6" s="107"/>
      <c r="B6" s="111"/>
      <c r="C6" s="112"/>
      <c r="D6" s="121" t="s">
        <v>5</v>
      </c>
      <c r="E6" s="121" t="s">
        <v>6</v>
      </c>
      <c r="F6" s="121" t="s">
        <v>7</v>
      </c>
      <c r="G6" s="119"/>
      <c r="H6" s="107"/>
    </row>
    <row r="7" spans="1:23" ht="15" x14ac:dyDescent="0.25">
      <c r="A7" s="107"/>
      <c r="B7" s="111"/>
      <c r="C7" s="112"/>
      <c r="D7" s="122"/>
      <c r="E7" s="122"/>
      <c r="F7" s="122"/>
      <c r="G7" s="119"/>
      <c r="H7" s="107"/>
    </row>
    <row r="8" spans="1:23" ht="15" x14ac:dyDescent="0.25">
      <c r="A8" s="108"/>
      <c r="B8" s="113"/>
      <c r="C8" s="114"/>
      <c r="D8" s="123"/>
      <c r="E8" s="123"/>
      <c r="F8" s="123"/>
      <c r="G8" s="120"/>
      <c r="H8" s="108"/>
    </row>
    <row r="9" spans="1:23" ht="18.75" x14ac:dyDescent="0.25">
      <c r="A9" s="81" t="s">
        <v>31</v>
      </c>
      <c r="B9" s="82"/>
      <c r="C9" s="82"/>
      <c r="D9" s="82"/>
      <c r="E9" s="82"/>
      <c r="F9" s="82"/>
      <c r="G9" s="83"/>
      <c r="H9" s="65"/>
    </row>
    <row r="10" spans="1:23" ht="18.75" x14ac:dyDescent="0.25">
      <c r="A10" s="81" t="s">
        <v>34</v>
      </c>
      <c r="B10" s="82"/>
      <c r="C10" s="83"/>
      <c r="D10" s="4"/>
      <c r="E10" s="4"/>
      <c r="F10" s="4"/>
      <c r="G10" s="4"/>
      <c r="H10" s="65"/>
    </row>
    <row r="11" spans="1:23" ht="18.75" x14ac:dyDescent="0.25">
      <c r="A11" s="5" t="s">
        <v>105</v>
      </c>
      <c r="B11" s="77">
        <v>220</v>
      </c>
      <c r="C11" s="78"/>
      <c r="D11" s="20">
        <v>14.652000000000001</v>
      </c>
      <c r="E11" s="20">
        <v>15.180000000000001</v>
      </c>
      <c r="F11" s="20">
        <v>50.160000000000004</v>
      </c>
      <c r="G11" s="20">
        <v>395.86799999999999</v>
      </c>
      <c r="H11" s="41">
        <v>219</v>
      </c>
      <c r="J11" s="28">
        <f>D11*4</f>
        <v>58.608000000000004</v>
      </c>
      <c r="K11" s="28">
        <f>E11*9</f>
        <v>136.62</v>
      </c>
      <c r="L11" s="28">
        <f>F11*4</f>
        <v>200.64000000000001</v>
      </c>
      <c r="M11" s="28">
        <f>SUM(J11:L11)</f>
        <v>395.86800000000005</v>
      </c>
      <c r="P11" s="28">
        <f>D11*4</f>
        <v>58.608000000000004</v>
      </c>
      <c r="Q11" s="28">
        <f>E11*9</f>
        <v>136.62</v>
      </c>
      <c r="R11" s="28">
        <f>F11*4</f>
        <v>200.64000000000001</v>
      </c>
      <c r="S11" s="28">
        <f>SUM(P11:R11)</f>
        <v>395.86800000000005</v>
      </c>
      <c r="T11" s="28">
        <v>1</v>
      </c>
    </row>
    <row r="12" spans="1:23" ht="18.75" x14ac:dyDescent="0.3">
      <c r="A12" s="42" t="s">
        <v>83</v>
      </c>
      <c r="B12" s="86">
        <v>100</v>
      </c>
      <c r="C12" s="87"/>
      <c r="D12" s="7">
        <f>0.9/100*150</f>
        <v>1.35</v>
      </c>
      <c r="E12" s="7">
        <f>0.23/100*150</f>
        <v>0.34499999999999997</v>
      </c>
      <c r="F12" s="7">
        <f>11.8/100*150-1.75</f>
        <v>15.950000000000003</v>
      </c>
      <c r="G12" s="7">
        <v>72.3</v>
      </c>
      <c r="H12" s="19" t="s">
        <v>58</v>
      </c>
      <c r="J12" s="28">
        <f t="shared" ref="J12:J83" si="0">D12*4</f>
        <v>5.4</v>
      </c>
      <c r="K12" s="28">
        <f t="shared" ref="K12:K83" si="1">E12*9</f>
        <v>3.1049999999999995</v>
      </c>
      <c r="L12" s="28">
        <f t="shared" ref="L12:L83" si="2">F12*4</f>
        <v>63.800000000000011</v>
      </c>
      <c r="M12" s="28">
        <f t="shared" ref="M12:M83" si="3">SUM(J12:L12)</f>
        <v>72.305000000000007</v>
      </c>
      <c r="T12" s="28">
        <v>1</v>
      </c>
    </row>
    <row r="13" spans="1:23" ht="18.75" x14ac:dyDescent="0.3">
      <c r="A13" s="42" t="s">
        <v>95</v>
      </c>
      <c r="B13" s="86">
        <v>30</v>
      </c>
      <c r="C13" s="87"/>
      <c r="D13" s="7">
        <f>5.5/100*30</f>
        <v>1.65</v>
      </c>
      <c r="E13" s="7">
        <f>6.5/100*30</f>
        <v>1.9500000000000002</v>
      </c>
      <c r="F13" s="7">
        <f>34.9/100*30</f>
        <v>10.469999999999999</v>
      </c>
      <c r="G13" s="7">
        <f>210.9/100*30</f>
        <v>63.269999999999996</v>
      </c>
      <c r="H13" s="19" t="s">
        <v>8</v>
      </c>
      <c r="T13" s="28">
        <v>1</v>
      </c>
    </row>
    <row r="14" spans="1:23" ht="18.75" x14ac:dyDescent="0.3">
      <c r="A14" s="42" t="s">
        <v>9</v>
      </c>
      <c r="B14" s="77">
        <v>200</v>
      </c>
      <c r="C14" s="78"/>
      <c r="D14" s="7">
        <v>0.17</v>
      </c>
      <c r="E14" s="7">
        <v>0.04</v>
      </c>
      <c r="F14" s="7">
        <v>10.5</v>
      </c>
      <c r="G14" s="7">
        <v>43.04</v>
      </c>
      <c r="H14" s="19">
        <v>376</v>
      </c>
      <c r="J14" s="28">
        <f t="shared" si="0"/>
        <v>0.68</v>
      </c>
      <c r="K14" s="28">
        <f t="shared" si="1"/>
        <v>0.36</v>
      </c>
      <c r="L14" s="28">
        <f t="shared" si="2"/>
        <v>42</v>
      </c>
      <c r="M14" s="28">
        <f t="shared" si="3"/>
        <v>43.04</v>
      </c>
      <c r="T14" s="28">
        <v>1</v>
      </c>
    </row>
    <row r="15" spans="1:23" s="33" customFormat="1" x14ac:dyDescent="0.25">
      <c r="A15" s="9" t="s">
        <v>10</v>
      </c>
      <c r="B15" s="88">
        <f>SUM(B11:C14)</f>
        <v>550</v>
      </c>
      <c r="C15" s="89"/>
      <c r="D15" s="10">
        <f>SUM(D11:D14)</f>
        <v>17.822000000000003</v>
      </c>
      <c r="E15" s="10">
        <f t="shared" ref="E15:G15" si="4">SUM(E11:E14)</f>
        <v>17.515000000000001</v>
      </c>
      <c r="F15" s="10">
        <f t="shared" si="4"/>
        <v>87.080000000000013</v>
      </c>
      <c r="G15" s="10">
        <f t="shared" si="4"/>
        <v>574.47799999999995</v>
      </c>
      <c r="H15" s="24"/>
      <c r="J15" s="28">
        <f t="shared" si="0"/>
        <v>71.288000000000011</v>
      </c>
      <c r="K15" s="28">
        <f t="shared" si="1"/>
        <v>157.63499999999999</v>
      </c>
      <c r="L15" s="28">
        <f t="shared" si="2"/>
        <v>348.32000000000005</v>
      </c>
      <c r="M15" s="28">
        <f t="shared" si="3"/>
        <v>577.24300000000005</v>
      </c>
      <c r="N15" s="33">
        <f>2350/100*20</f>
        <v>470</v>
      </c>
      <c r="T15" s="28">
        <v>1</v>
      </c>
      <c r="U15" s="33">
        <f>2720/100*20</f>
        <v>544</v>
      </c>
      <c r="V15" s="33">
        <v>516.79999999999995</v>
      </c>
      <c r="W15" s="33">
        <f>U15+27.2</f>
        <v>571.20000000000005</v>
      </c>
    </row>
    <row r="16" spans="1:23" ht="18.75" x14ac:dyDescent="0.25">
      <c r="A16" s="81" t="s">
        <v>32</v>
      </c>
      <c r="B16" s="82"/>
      <c r="C16" s="83"/>
      <c r="D16" s="4"/>
      <c r="E16" s="4"/>
      <c r="F16" s="4"/>
      <c r="G16" s="4"/>
      <c r="H16" s="65"/>
      <c r="J16" s="28">
        <f t="shared" si="0"/>
        <v>0</v>
      </c>
      <c r="K16" s="28">
        <f t="shared" si="1"/>
        <v>0</v>
      </c>
      <c r="L16" s="28">
        <f t="shared" si="2"/>
        <v>0</v>
      </c>
      <c r="M16" s="28">
        <f t="shared" si="3"/>
        <v>0</v>
      </c>
      <c r="T16" s="28">
        <v>1</v>
      </c>
      <c r="V16" s="33">
        <f t="shared" ref="V16:V24" si="5">U16/100*5</f>
        <v>0</v>
      </c>
      <c r="W16" s="33">
        <f t="shared" ref="W16:W24" si="6">U16-V16</f>
        <v>0</v>
      </c>
    </row>
    <row r="17" spans="1:28" ht="18.75" x14ac:dyDescent="0.25">
      <c r="A17" s="61" t="s">
        <v>116</v>
      </c>
      <c r="B17" s="142">
        <v>100</v>
      </c>
      <c r="C17" s="142"/>
      <c r="D17" s="17">
        <v>0</v>
      </c>
      <c r="E17" s="17">
        <v>0</v>
      </c>
      <c r="F17" s="17">
        <v>3.9</v>
      </c>
      <c r="G17" s="17">
        <v>16</v>
      </c>
      <c r="H17" s="44">
        <v>149</v>
      </c>
      <c r="V17" s="33">
        <f t="shared" si="5"/>
        <v>0</v>
      </c>
      <c r="W17" s="33">
        <f t="shared" si="6"/>
        <v>0</v>
      </c>
      <c r="X17" s="28" t="s">
        <v>100</v>
      </c>
      <c r="Y17" s="28">
        <f>D17*4</f>
        <v>0</v>
      </c>
      <c r="Z17" s="28">
        <f>E17*9</f>
        <v>0</v>
      </c>
      <c r="AA17" s="28">
        <f>F17*4</f>
        <v>15.6</v>
      </c>
      <c r="AB17" s="28">
        <f>SUBTOTAL(9,Y17:AA17)</f>
        <v>15.6</v>
      </c>
    </row>
    <row r="18" spans="1:28" ht="18.75" x14ac:dyDescent="0.3">
      <c r="A18" s="14" t="s">
        <v>66</v>
      </c>
      <c r="B18" s="131">
        <v>250</v>
      </c>
      <c r="C18" s="132"/>
      <c r="D18" s="60">
        <v>17.421250000000004</v>
      </c>
      <c r="E18" s="60">
        <v>6.1818181818181825</v>
      </c>
      <c r="F18" s="60">
        <v>40.284090909090914</v>
      </c>
      <c r="G18" s="60">
        <v>286.45454545454544</v>
      </c>
      <c r="H18" s="19">
        <v>113</v>
      </c>
      <c r="J18" s="28">
        <f t="shared" si="0"/>
        <v>69.685000000000016</v>
      </c>
      <c r="K18" s="28">
        <f t="shared" si="1"/>
        <v>55.63636363636364</v>
      </c>
      <c r="L18" s="28">
        <f t="shared" si="2"/>
        <v>161.13636363636365</v>
      </c>
      <c r="M18" s="28">
        <f t="shared" si="3"/>
        <v>286.45772727272731</v>
      </c>
      <c r="T18" s="28">
        <v>1</v>
      </c>
      <c r="V18" s="33">
        <f t="shared" si="5"/>
        <v>0</v>
      </c>
      <c r="W18" s="33">
        <f t="shared" si="6"/>
        <v>0</v>
      </c>
    </row>
    <row r="19" spans="1:28" ht="18.75" x14ac:dyDescent="0.3">
      <c r="A19" s="42" t="s">
        <v>85</v>
      </c>
      <c r="B19" s="86">
        <v>220</v>
      </c>
      <c r="C19" s="87"/>
      <c r="D19" s="17">
        <v>6.9</v>
      </c>
      <c r="E19" s="17">
        <v>14.12</v>
      </c>
      <c r="F19" s="17">
        <v>17.899999999999999</v>
      </c>
      <c r="G19" s="17">
        <v>226.28</v>
      </c>
      <c r="H19" s="19">
        <v>259</v>
      </c>
      <c r="J19" s="28">
        <f t="shared" si="0"/>
        <v>27.6</v>
      </c>
      <c r="K19" s="28">
        <f t="shared" si="1"/>
        <v>127.08</v>
      </c>
      <c r="L19" s="28">
        <f t="shared" si="2"/>
        <v>71.599999999999994</v>
      </c>
      <c r="M19" s="28">
        <f t="shared" si="3"/>
        <v>226.28</v>
      </c>
      <c r="T19" s="28">
        <v>1</v>
      </c>
      <c r="V19" s="33">
        <f t="shared" si="5"/>
        <v>0</v>
      </c>
      <c r="W19" s="33">
        <f t="shared" si="6"/>
        <v>0</v>
      </c>
    </row>
    <row r="20" spans="1:28" ht="18.75" x14ac:dyDescent="0.3">
      <c r="A20" s="12" t="s">
        <v>13</v>
      </c>
      <c r="B20" s="77">
        <v>200</v>
      </c>
      <c r="C20" s="78"/>
      <c r="D20" s="7">
        <v>0.3</v>
      </c>
      <c r="E20" s="7">
        <v>0.1</v>
      </c>
      <c r="F20" s="7">
        <v>23.666666666666668</v>
      </c>
      <c r="G20" s="7">
        <v>96</v>
      </c>
      <c r="H20" s="19">
        <v>349</v>
      </c>
      <c r="J20" s="28">
        <f t="shared" si="0"/>
        <v>1.2</v>
      </c>
      <c r="K20" s="28">
        <f t="shared" si="1"/>
        <v>0.9</v>
      </c>
      <c r="L20" s="28">
        <f t="shared" si="2"/>
        <v>94.666666666666671</v>
      </c>
      <c r="M20" s="28">
        <f t="shared" si="3"/>
        <v>96.766666666666666</v>
      </c>
      <c r="T20" s="28">
        <v>1</v>
      </c>
      <c r="V20" s="33">
        <f t="shared" si="5"/>
        <v>0</v>
      </c>
      <c r="W20" s="33">
        <f t="shared" si="6"/>
        <v>0</v>
      </c>
    </row>
    <row r="21" spans="1:28" ht="18.75" x14ac:dyDescent="0.3">
      <c r="A21" s="42" t="s">
        <v>14</v>
      </c>
      <c r="B21" s="86">
        <v>30</v>
      </c>
      <c r="C21" s="87"/>
      <c r="D21" s="7">
        <v>1.5</v>
      </c>
      <c r="E21" s="7">
        <v>0.3</v>
      </c>
      <c r="F21" s="7">
        <v>13.800000000000002</v>
      </c>
      <c r="G21" s="7">
        <v>63.521999999999998</v>
      </c>
      <c r="H21" s="19">
        <v>574</v>
      </c>
      <c r="J21" s="28">
        <f t="shared" si="0"/>
        <v>6</v>
      </c>
      <c r="K21" s="28">
        <f t="shared" si="1"/>
        <v>2.6999999999999997</v>
      </c>
      <c r="L21" s="28">
        <f t="shared" si="2"/>
        <v>55.20000000000001</v>
      </c>
      <c r="M21" s="28">
        <f t="shared" si="3"/>
        <v>63.900000000000006</v>
      </c>
      <c r="T21" s="28">
        <v>1</v>
      </c>
      <c r="V21" s="33">
        <f t="shared" si="5"/>
        <v>0</v>
      </c>
      <c r="W21" s="33">
        <f t="shared" si="6"/>
        <v>0</v>
      </c>
    </row>
    <row r="22" spans="1:28" ht="18.75" x14ac:dyDescent="0.3">
      <c r="A22" s="42" t="s">
        <v>15</v>
      </c>
      <c r="B22" s="86">
        <v>30</v>
      </c>
      <c r="C22" s="87"/>
      <c r="D22" s="7">
        <v>2.25</v>
      </c>
      <c r="E22" s="7">
        <v>0.22200000000000003</v>
      </c>
      <c r="F22" s="7">
        <v>14.549999999999999</v>
      </c>
      <c r="G22" s="7">
        <v>69.3</v>
      </c>
      <c r="H22" s="19">
        <v>573</v>
      </c>
      <c r="J22" s="28">
        <f t="shared" si="0"/>
        <v>9</v>
      </c>
      <c r="K22" s="28">
        <f t="shared" si="1"/>
        <v>1.9980000000000002</v>
      </c>
      <c r="L22" s="28">
        <f t="shared" si="2"/>
        <v>58.199999999999996</v>
      </c>
      <c r="M22" s="28">
        <f t="shared" si="3"/>
        <v>69.197999999999993</v>
      </c>
      <c r="T22" s="28">
        <v>1</v>
      </c>
      <c r="V22" s="33">
        <f t="shared" si="5"/>
        <v>0</v>
      </c>
      <c r="W22" s="33">
        <f t="shared" si="6"/>
        <v>0</v>
      </c>
    </row>
    <row r="23" spans="1:28" s="33" customFormat="1" x14ac:dyDescent="0.25">
      <c r="A23" s="9" t="s">
        <v>16</v>
      </c>
      <c r="B23" s="88">
        <f>SUM(B17:C22)</f>
        <v>830</v>
      </c>
      <c r="C23" s="89"/>
      <c r="D23" s="4">
        <f>SUM(D17:D22)</f>
        <v>28.371250000000007</v>
      </c>
      <c r="E23" s="4">
        <f t="shared" ref="E23:G23" si="7">SUM(E17:E22)</f>
        <v>20.923818181818184</v>
      </c>
      <c r="F23" s="4">
        <f t="shared" si="7"/>
        <v>114.10075757575757</v>
      </c>
      <c r="G23" s="4">
        <f t="shared" si="7"/>
        <v>757.55654545454547</v>
      </c>
      <c r="H23" s="24"/>
      <c r="J23" s="28">
        <f t="shared" si="0"/>
        <v>113.48500000000003</v>
      </c>
      <c r="K23" s="28">
        <f t="shared" si="1"/>
        <v>188.31436363636365</v>
      </c>
      <c r="L23" s="28">
        <f t="shared" si="2"/>
        <v>456.40303030303028</v>
      </c>
      <c r="M23" s="28">
        <f t="shared" si="3"/>
        <v>758.20239393939391</v>
      </c>
      <c r="N23" s="33">
        <f>2350/100*30</f>
        <v>705</v>
      </c>
      <c r="T23" s="28">
        <v>1</v>
      </c>
      <c r="U23" s="33">
        <f>2720/100*30</f>
        <v>816</v>
      </c>
      <c r="V23" s="33">
        <v>775.2</v>
      </c>
      <c r="W23" s="33">
        <f>U23+40.8</f>
        <v>856.8</v>
      </c>
    </row>
    <row r="24" spans="1:28" s="30" customFormat="1" x14ac:dyDescent="0.25">
      <c r="A24" s="32" t="s">
        <v>17</v>
      </c>
      <c r="B24" s="129"/>
      <c r="C24" s="130"/>
      <c r="D24" s="4">
        <f>D15+D23</f>
        <v>46.193250000000006</v>
      </c>
      <c r="E24" s="4">
        <f t="shared" ref="E24:G24" si="8">E15+E23</f>
        <v>38.438818181818185</v>
      </c>
      <c r="F24" s="4">
        <f t="shared" si="8"/>
        <v>201.18075757575758</v>
      </c>
      <c r="G24" s="4">
        <f t="shared" si="8"/>
        <v>1332.0345454545454</v>
      </c>
      <c r="H24" s="8"/>
      <c r="J24" s="28">
        <f t="shared" si="0"/>
        <v>184.77300000000002</v>
      </c>
      <c r="K24" s="28">
        <f t="shared" si="1"/>
        <v>345.94936363636367</v>
      </c>
      <c r="L24" s="28">
        <f t="shared" si="2"/>
        <v>804.72303030303033</v>
      </c>
      <c r="M24" s="28">
        <f t="shared" si="3"/>
        <v>1335.4453939393941</v>
      </c>
      <c r="N24" s="33">
        <f>2350/100*50</f>
        <v>1175</v>
      </c>
      <c r="T24" s="28">
        <v>1</v>
      </c>
      <c r="U24" s="33">
        <f>2720/100*50</f>
        <v>1360</v>
      </c>
      <c r="V24" s="33">
        <f t="shared" si="5"/>
        <v>68</v>
      </c>
      <c r="W24" s="33">
        <f t="shared" si="6"/>
        <v>1292</v>
      </c>
    </row>
    <row r="25" spans="1:28" ht="18.75" x14ac:dyDescent="0.25">
      <c r="A25" s="81" t="s">
        <v>33</v>
      </c>
      <c r="B25" s="82"/>
      <c r="C25" s="82"/>
      <c r="D25" s="82"/>
      <c r="E25" s="82"/>
      <c r="F25" s="82"/>
      <c r="G25" s="83"/>
      <c r="H25" s="65"/>
      <c r="J25" s="28">
        <f t="shared" si="0"/>
        <v>0</v>
      </c>
      <c r="K25" s="28">
        <f t="shared" si="1"/>
        <v>0</v>
      </c>
      <c r="L25" s="28">
        <f t="shared" si="2"/>
        <v>0</v>
      </c>
      <c r="M25" s="28">
        <f t="shared" si="3"/>
        <v>0</v>
      </c>
    </row>
    <row r="26" spans="1:28" ht="18.75" x14ac:dyDescent="0.25">
      <c r="A26" s="81" t="s">
        <v>34</v>
      </c>
      <c r="B26" s="82"/>
      <c r="C26" s="83"/>
      <c r="D26" s="4"/>
      <c r="E26" s="4"/>
      <c r="F26" s="4"/>
      <c r="G26" s="4"/>
      <c r="H26" s="65"/>
      <c r="J26" s="28">
        <f t="shared" si="0"/>
        <v>0</v>
      </c>
      <c r="K26" s="28">
        <f t="shared" si="1"/>
        <v>0</v>
      </c>
      <c r="L26" s="28">
        <f t="shared" si="2"/>
        <v>0</v>
      </c>
      <c r="M26" s="28">
        <f t="shared" si="3"/>
        <v>0</v>
      </c>
    </row>
    <row r="27" spans="1:28" ht="18.75" x14ac:dyDescent="0.3">
      <c r="A27" s="5" t="s">
        <v>30</v>
      </c>
      <c r="B27" s="77">
        <v>180</v>
      </c>
      <c r="C27" s="78"/>
      <c r="D27" s="7">
        <v>7.56</v>
      </c>
      <c r="E27" s="7">
        <v>8.64</v>
      </c>
      <c r="F27" s="7">
        <v>18.72</v>
      </c>
      <c r="G27" s="7">
        <v>182.88</v>
      </c>
      <c r="H27" s="19">
        <v>202</v>
      </c>
      <c r="J27" s="28">
        <f t="shared" si="0"/>
        <v>30.24</v>
      </c>
      <c r="K27" s="28">
        <f t="shared" si="1"/>
        <v>77.760000000000005</v>
      </c>
      <c r="L27" s="28">
        <f t="shared" si="2"/>
        <v>74.88</v>
      </c>
      <c r="M27" s="28">
        <f t="shared" si="3"/>
        <v>182.88</v>
      </c>
      <c r="T27" s="28">
        <v>2</v>
      </c>
    </row>
    <row r="28" spans="1:28" ht="37.5" x14ac:dyDescent="0.3">
      <c r="A28" s="5" t="s">
        <v>29</v>
      </c>
      <c r="B28" s="77">
        <v>110</v>
      </c>
      <c r="C28" s="78"/>
      <c r="D28" s="13">
        <v>11.65</v>
      </c>
      <c r="E28" s="13">
        <v>7.08</v>
      </c>
      <c r="F28" s="13">
        <v>12.727272727272727</v>
      </c>
      <c r="G28" s="13">
        <v>183.69</v>
      </c>
      <c r="H28" s="19" t="s">
        <v>87</v>
      </c>
      <c r="J28" s="28">
        <f t="shared" si="0"/>
        <v>46.6</v>
      </c>
      <c r="K28" s="28">
        <f t="shared" si="1"/>
        <v>63.72</v>
      </c>
      <c r="L28" s="28">
        <f t="shared" si="2"/>
        <v>50.909090909090907</v>
      </c>
      <c r="M28" s="28">
        <f t="shared" si="3"/>
        <v>161.2290909090909</v>
      </c>
      <c r="T28" s="28">
        <v>2</v>
      </c>
    </row>
    <row r="29" spans="1:28" ht="18.75" x14ac:dyDescent="0.3">
      <c r="A29" s="42" t="s">
        <v>15</v>
      </c>
      <c r="B29" s="86">
        <v>40</v>
      </c>
      <c r="C29" s="87"/>
      <c r="D29" s="7">
        <v>3</v>
      </c>
      <c r="E29" s="7">
        <v>0.29600000000000004</v>
      </c>
      <c r="F29" s="7">
        <v>19.399999999999999</v>
      </c>
      <c r="G29" s="7">
        <v>92.4</v>
      </c>
      <c r="H29" s="19">
        <v>573</v>
      </c>
      <c r="J29" s="28">
        <f t="shared" si="0"/>
        <v>12</v>
      </c>
      <c r="K29" s="28">
        <f t="shared" si="1"/>
        <v>2.6640000000000006</v>
      </c>
      <c r="L29" s="28">
        <f t="shared" si="2"/>
        <v>77.599999999999994</v>
      </c>
      <c r="M29" s="28">
        <f t="shared" si="3"/>
        <v>92.263999999999996</v>
      </c>
      <c r="T29" s="28">
        <v>2</v>
      </c>
    </row>
    <row r="30" spans="1:28" ht="18.75" x14ac:dyDescent="0.3">
      <c r="A30" s="42" t="s">
        <v>95</v>
      </c>
      <c r="B30" s="86">
        <v>30</v>
      </c>
      <c r="C30" s="87"/>
      <c r="D30" s="7">
        <f>5.5/100*30</f>
        <v>1.65</v>
      </c>
      <c r="E30" s="7">
        <f>6.5/100*30</f>
        <v>1.9500000000000002</v>
      </c>
      <c r="F30" s="7">
        <f>34.9/100*30</f>
        <v>10.469999999999999</v>
      </c>
      <c r="G30" s="7">
        <f>210.9/100*30</f>
        <v>63.269999999999996</v>
      </c>
      <c r="H30" s="19" t="s">
        <v>8</v>
      </c>
      <c r="T30" s="28">
        <v>2</v>
      </c>
    </row>
    <row r="31" spans="1:28" ht="18.75" x14ac:dyDescent="0.3">
      <c r="A31" s="16" t="s">
        <v>18</v>
      </c>
      <c r="B31" s="86">
        <v>200</v>
      </c>
      <c r="C31" s="87"/>
      <c r="D31" s="7">
        <v>0.26</v>
      </c>
      <c r="E31" s="7">
        <v>0.05</v>
      </c>
      <c r="F31" s="7">
        <v>12.26</v>
      </c>
      <c r="G31" s="7">
        <v>49.72</v>
      </c>
      <c r="H31" s="19">
        <v>377</v>
      </c>
      <c r="J31" s="28">
        <f t="shared" si="0"/>
        <v>1.04</v>
      </c>
      <c r="K31" s="28">
        <f t="shared" si="1"/>
        <v>0.45</v>
      </c>
      <c r="L31" s="28">
        <f t="shared" si="2"/>
        <v>49.04</v>
      </c>
      <c r="M31" s="28">
        <f t="shared" si="3"/>
        <v>50.53</v>
      </c>
      <c r="T31" s="28">
        <v>2</v>
      </c>
    </row>
    <row r="32" spans="1:28" s="33" customFormat="1" x14ac:dyDescent="0.25">
      <c r="A32" s="9" t="s">
        <v>10</v>
      </c>
      <c r="B32" s="88">
        <f>SUM(B27:C31)</f>
        <v>560</v>
      </c>
      <c r="C32" s="89"/>
      <c r="D32" s="10">
        <f>SUM(D27:D31)</f>
        <v>24.12</v>
      </c>
      <c r="E32" s="10">
        <f t="shared" ref="E32:G32" si="9">SUM(E27:E31)</f>
        <v>18.016000000000002</v>
      </c>
      <c r="F32" s="10">
        <f t="shared" si="9"/>
        <v>73.577272727272728</v>
      </c>
      <c r="G32" s="10">
        <f t="shared" si="9"/>
        <v>571.96</v>
      </c>
      <c r="H32" s="24"/>
      <c r="J32" s="28">
        <f t="shared" si="0"/>
        <v>96.48</v>
      </c>
      <c r="K32" s="28">
        <f t="shared" si="1"/>
        <v>162.14400000000001</v>
      </c>
      <c r="L32" s="28">
        <f t="shared" si="2"/>
        <v>294.30909090909091</v>
      </c>
      <c r="M32" s="28">
        <f t="shared" si="3"/>
        <v>552.93309090909088</v>
      </c>
      <c r="N32" s="33">
        <f>2350/100*20</f>
        <v>470</v>
      </c>
      <c r="T32" s="28">
        <v>2</v>
      </c>
      <c r="U32" s="33">
        <v>544</v>
      </c>
      <c r="V32" s="33">
        <v>516.79999999999995</v>
      </c>
      <c r="W32" s="33">
        <v>571.20000000000005</v>
      </c>
    </row>
    <row r="33" spans="1:28" ht="18.75" x14ac:dyDescent="0.25">
      <c r="A33" s="81" t="s">
        <v>32</v>
      </c>
      <c r="B33" s="82"/>
      <c r="C33" s="83"/>
      <c r="D33" s="4"/>
      <c r="E33" s="4"/>
      <c r="F33" s="4"/>
      <c r="G33" s="4"/>
      <c r="H33" s="65"/>
      <c r="J33" s="28">
        <f t="shared" si="0"/>
        <v>0</v>
      </c>
      <c r="K33" s="28">
        <f t="shared" si="1"/>
        <v>0</v>
      </c>
      <c r="L33" s="28">
        <f t="shared" si="2"/>
        <v>0</v>
      </c>
      <c r="M33" s="28">
        <f t="shared" si="3"/>
        <v>0</v>
      </c>
      <c r="T33" s="28">
        <v>2</v>
      </c>
      <c r="V33" s="28">
        <v>0</v>
      </c>
      <c r="W33" s="28">
        <v>0</v>
      </c>
    </row>
    <row r="34" spans="1:28" ht="18.75" x14ac:dyDescent="0.25">
      <c r="A34" s="61" t="s">
        <v>98</v>
      </c>
      <c r="B34" s="147">
        <v>100</v>
      </c>
      <c r="C34" s="148"/>
      <c r="D34" s="38">
        <f>2.5-1.3</f>
        <v>1.2</v>
      </c>
      <c r="E34" s="38">
        <f>9-2.8</f>
        <v>6.2</v>
      </c>
      <c r="F34" s="38">
        <v>11.166666666666666</v>
      </c>
      <c r="G34" s="38">
        <v>105.26</v>
      </c>
      <c r="H34" s="44">
        <v>75</v>
      </c>
      <c r="V34" s="28">
        <v>0</v>
      </c>
      <c r="W34" s="28">
        <v>0</v>
      </c>
      <c r="X34" s="28" t="s">
        <v>100</v>
      </c>
      <c r="Y34" s="28">
        <f>D34*4</f>
        <v>4.8</v>
      </c>
      <c r="Z34" s="28">
        <f>E34*9</f>
        <v>55.800000000000004</v>
      </c>
      <c r="AA34" s="28">
        <f>F34*4</f>
        <v>44.666666666666664</v>
      </c>
      <c r="AB34" s="28">
        <f>SUBTOTAL(9,Y34:AA34)</f>
        <v>105.26666666666667</v>
      </c>
    </row>
    <row r="35" spans="1:28" ht="15.75" customHeight="1" x14ac:dyDescent="0.3">
      <c r="A35" s="18" t="s">
        <v>21</v>
      </c>
      <c r="B35" s="75">
        <v>250</v>
      </c>
      <c r="C35" s="76"/>
      <c r="D35" s="15">
        <v>10.125</v>
      </c>
      <c r="E35" s="15">
        <v>7.6</v>
      </c>
      <c r="F35" s="15">
        <v>9.85</v>
      </c>
      <c r="G35" s="15">
        <v>148.30000000000001</v>
      </c>
      <c r="H35" s="19">
        <v>102</v>
      </c>
      <c r="J35" s="28">
        <f t="shared" si="0"/>
        <v>40.5</v>
      </c>
      <c r="K35" s="28">
        <f t="shared" si="1"/>
        <v>68.399999999999991</v>
      </c>
      <c r="L35" s="28">
        <f t="shared" si="2"/>
        <v>39.4</v>
      </c>
      <c r="M35" s="28">
        <f t="shared" si="3"/>
        <v>148.29999999999998</v>
      </c>
      <c r="T35" s="28">
        <v>2</v>
      </c>
      <c r="V35" s="28">
        <v>0</v>
      </c>
      <c r="W35" s="28">
        <v>0</v>
      </c>
      <c r="Y35" s="28">
        <f>D35*4</f>
        <v>40.5</v>
      </c>
      <c r="Z35" s="28">
        <f>E35*9</f>
        <v>68.399999999999991</v>
      </c>
      <c r="AA35" s="28">
        <f>F35*4</f>
        <v>39.4</v>
      </c>
      <c r="AB35" s="28">
        <f>SUBTOTAL(9,Y35:AA35)</f>
        <v>148.29999999999998</v>
      </c>
    </row>
    <row r="36" spans="1:28" ht="18.75" x14ac:dyDescent="0.25">
      <c r="A36" s="43" t="s">
        <v>101</v>
      </c>
      <c r="B36" s="133">
        <v>200</v>
      </c>
      <c r="C36" s="134"/>
      <c r="D36" s="17">
        <f>122/1000*200</f>
        <v>24.4</v>
      </c>
      <c r="E36" s="17">
        <v>10.7</v>
      </c>
      <c r="F36" s="17">
        <v>42.3</v>
      </c>
      <c r="G36" s="17">
        <v>363.1</v>
      </c>
      <c r="H36" s="41" t="s">
        <v>102</v>
      </c>
      <c r="J36" s="28">
        <f t="shared" si="0"/>
        <v>97.6</v>
      </c>
      <c r="K36" s="28">
        <f t="shared" si="1"/>
        <v>96.3</v>
      </c>
      <c r="L36" s="28">
        <f t="shared" si="2"/>
        <v>169.2</v>
      </c>
      <c r="M36" s="28">
        <f t="shared" si="3"/>
        <v>363.09999999999997</v>
      </c>
      <c r="T36" s="28">
        <v>2</v>
      </c>
      <c r="V36" s="28">
        <v>0</v>
      </c>
      <c r="W36" s="28">
        <v>0</v>
      </c>
    </row>
    <row r="37" spans="1:28" ht="15.75" customHeight="1" x14ac:dyDescent="0.3">
      <c r="A37" s="12" t="s">
        <v>25</v>
      </c>
      <c r="B37" s="77">
        <v>200</v>
      </c>
      <c r="C37" s="78"/>
      <c r="D37" s="13">
        <v>0.17</v>
      </c>
      <c r="E37" s="13">
        <v>0.04</v>
      </c>
      <c r="F37" s="7">
        <v>24.1</v>
      </c>
      <c r="G37" s="7">
        <v>98.5</v>
      </c>
      <c r="H37" s="19">
        <v>491</v>
      </c>
      <c r="J37" s="28">
        <f t="shared" si="0"/>
        <v>0.68</v>
      </c>
      <c r="K37" s="28">
        <f t="shared" si="1"/>
        <v>0.36</v>
      </c>
      <c r="L37" s="28">
        <f t="shared" si="2"/>
        <v>96.4</v>
      </c>
      <c r="M37" s="28">
        <f t="shared" si="3"/>
        <v>97.440000000000012</v>
      </c>
      <c r="T37" s="28">
        <v>2</v>
      </c>
      <c r="V37" s="28">
        <v>0</v>
      </c>
      <c r="W37" s="28">
        <v>0</v>
      </c>
    </row>
    <row r="38" spans="1:28" ht="18.75" x14ac:dyDescent="0.3">
      <c r="A38" s="42" t="s">
        <v>14</v>
      </c>
      <c r="B38" s="86">
        <v>30</v>
      </c>
      <c r="C38" s="87"/>
      <c r="D38" s="7">
        <v>1.5</v>
      </c>
      <c r="E38" s="7">
        <v>0.3</v>
      </c>
      <c r="F38" s="7">
        <v>13.800000000000002</v>
      </c>
      <c r="G38" s="7">
        <v>63.521999999999998</v>
      </c>
      <c r="H38" s="19">
        <v>574</v>
      </c>
      <c r="J38" s="28">
        <f t="shared" si="0"/>
        <v>6</v>
      </c>
      <c r="K38" s="28">
        <f t="shared" si="1"/>
        <v>2.6999999999999997</v>
      </c>
      <c r="L38" s="28">
        <f t="shared" si="2"/>
        <v>55.20000000000001</v>
      </c>
      <c r="M38" s="28">
        <f t="shared" si="3"/>
        <v>63.900000000000006</v>
      </c>
      <c r="T38" s="28">
        <v>2</v>
      </c>
      <c r="V38" s="28">
        <v>0</v>
      </c>
      <c r="W38" s="28">
        <v>0</v>
      </c>
    </row>
    <row r="39" spans="1:28" ht="15.75" customHeight="1" x14ac:dyDescent="0.3">
      <c r="A39" s="42" t="s">
        <v>15</v>
      </c>
      <c r="B39" s="86">
        <v>30</v>
      </c>
      <c r="C39" s="87"/>
      <c r="D39" s="7">
        <v>2.25</v>
      </c>
      <c r="E39" s="7">
        <v>0.22200000000000003</v>
      </c>
      <c r="F39" s="7">
        <v>14.549999999999999</v>
      </c>
      <c r="G39" s="7">
        <v>69.3</v>
      </c>
      <c r="H39" s="19">
        <v>573</v>
      </c>
      <c r="J39" s="28">
        <f t="shared" si="0"/>
        <v>9</v>
      </c>
      <c r="K39" s="28">
        <f t="shared" si="1"/>
        <v>1.9980000000000002</v>
      </c>
      <c r="L39" s="28">
        <f t="shared" si="2"/>
        <v>58.199999999999996</v>
      </c>
      <c r="M39" s="28">
        <f t="shared" si="3"/>
        <v>69.197999999999993</v>
      </c>
      <c r="T39" s="28">
        <v>2</v>
      </c>
      <c r="V39" s="28">
        <v>0</v>
      </c>
      <c r="W39" s="28">
        <v>0</v>
      </c>
    </row>
    <row r="40" spans="1:28" s="33" customFormat="1" x14ac:dyDescent="0.25">
      <c r="A40" s="9" t="s">
        <v>16</v>
      </c>
      <c r="B40" s="88">
        <f>SUM(B34:C39)</f>
        <v>810</v>
      </c>
      <c r="C40" s="89"/>
      <c r="D40" s="4">
        <f>SUM(D34:D39)</f>
        <v>39.644999999999996</v>
      </c>
      <c r="E40" s="4">
        <f>SUM(E34:E39)</f>
        <v>25.062000000000001</v>
      </c>
      <c r="F40" s="4">
        <f>SUM(F34:F39)</f>
        <v>115.76666666666665</v>
      </c>
      <c r="G40" s="4">
        <f>SUM(G34:G39)</f>
        <v>847.98200000000008</v>
      </c>
      <c r="H40" s="24"/>
      <c r="J40" s="28">
        <f t="shared" si="0"/>
        <v>158.57999999999998</v>
      </c>
      <c r="K40" s="28">
        <f t="shared" si="1"/>
        <v>225.55800000000002</v>
      </c>
      <c r="L40" s="28">
        <f t="shared" si="2"/>
        <v>463.06666666666661</v>
      </c>
      <c r="M40" s="28">
        <f t="shared" si="3"/>
        <v>847.20466666666664</v>
      </c>
      <c r="N40" s="33">
        <f>2350/100*30</f>
        <v>705</v>
      </c>
      <c r="O40" s="33">
        <f>N40/100*5</f>
        <v>35.25</v>
      </c>
      <c r="P40" s="33">
        <f>N40-O40</f>
        <v>669.75</v>
      </c>
      <c r="T40" s="28">
        <v>2</v>
      </c>
      <c r="U40" s="33">
        <v>816</v>
      </c>
      <c r="V40" s="33">
        <v>775.2</v>
      </c>
      <c r="W40" s="33">
        <v>856.8</v>
      </c>
    </row>
    <row r="41" spans="1:28" s="30" customFormat="1" x14ac:dyDescent="0.25">
      <c r="A41" s="32" t="s">
        <v>17</v>
      </c>
      <c r="B41" s="129"/>
      <c r="C41" s="130"/>
      <c r="D41" s="4">
        <f>D32+D40</f>
        <v>63.765000000000001</v>
      </c>
      <c r="E41" s="4">
        <f>E32+E40</f>
        <v>43.078000000000003</v>
      </c>
      <c r="F41" s="4">
        <f>F32+F40</f>
        <v>189.34393939393937</v>
      </c>
      <c r="G41" s="4">
        <f>G32+G40</f>
        <v>1419.942</v>
      </c>
      <c r="H41" s="8"/>
      <c r="J41" s="28">
        <f t="shared" si="0"/>
        <v>255.06</v>
      </c>
      <c r="K41" s="28">
        <f t="shared" si="1"/>
        <v>387.702</v>
      </c>
      <c r="L41" s="28">
        <f t="shared" si="2"/>
        <v>757.37575757575746</v>
      </c>
      <c r="M41" s="28">
        <f t="shared" si="3"/>
        <v>1400.1377575757574</v>
      </c>
      <c r="N41" s="33">
        <f>2350/100*50</f>
        <v>1175</v>
      </c>
      <c r="T41" s="28">
        <v>2</v>
      </c>
      <c r="U41" s="33">
        <v>1360</v>
      </c>
      <c r="V41" s="30">
        <v>68</v>
      </c>
      <c r="W41" s="30">
        <v>1292</v>
      </c>
    </row>
    <row r="42" spans="1:28" ht="18.75" x14ac:dyDescent="0.25">
      <c r="A42" s="81" t="s">
        <v>35</v>
      </c>
      <c r="B42" s="82"/>
      <c r="C42" s="82"/>
      <c r="D42" s="82"/>
      <c r="E42" s="82"/>
      <c r="F42" s="82"/>
      <c r="G42" s="83"/>
      <c r="H42" s="65"/>
      <c r="J42" s="28">
        <f t="shared" si="0"/>
        <v>0</v>
      </c>
      <c r="K42" s="28">
        <f t="shared" si="1"/>
        <v>0</v>
      </c>
      <c r="L42" s="28">
        <f t="shared" si="2"/>
        <v>0</v>
      </c>
      <c r="M42" s="28">
        <f t="shared" si="3"/>
        <v>0</v>
      </c>
    </row>
    <row r="43" spans="1:28" ht="18.75" x14ac:dyDescent="0.25">
      <c r="A43" s="81" t="s">
        <v>34</v>
      </c>
      <c r="B43" s="82"/>
      <c r="C43" s="83"/>
      <c r="D43" s="4"/>
      <c r="E43" s="4"/>
      <c r="F43" s="4"/>
      <c r="G43" s="4"/>
      <c r="H43" s="65"/>
      <c r="J43" s="28">
        <f t="shared" si="0"/>
        <v>0</v>
      </c>
      <c r="K43" s="28">
        <f t="shared" si="1"/>
        <v>0</v>
      </c>
      <c r="L43" s="28">
        <f t="shared" si="2"/>
        <v>0</v>
      </c>
      <c r="M43" s="28">
        <f t="shared" si="3"/>
        <v>0</v>
      </c>
    </row>
    <row r="44" spans="1:28" ht="18.75" x14ac:dyDescent="0.3">
      <c r="A44" s="55" t="s">
        <v>103</v>
      </c>
      <c r="B44" s="77">
        <v>250</v>
      </c>
      <c r="C44" s="78"/>
      <c r="D44" s="15">
        <f>10.6-2.76-2</f>
        <v>5.84</v>
      </c>
      <c r="E44" s="15">
        <v>10</v>
      </c>
      <c r="F44" s="15">
        <f>72.5-13+2.56-8</f>
        <v>54.06</v>
      </c>
      <c r="G44" s="15">
        <v>329.6</v>
      </c>
      <c r="H44" s="41" t="s">
        <v>104</v>
      </c>
      <c r="J44" s="28">
        <f t="shared" si="0"/>
        <v>23.36</v>
      </c>
      <c r="K44" s="28">
        <f t="shared" si="1"/>
        <v>90</v>
      </c>
      <c r="L44" s="28">
        <f t="shared" si="2"/>
        <v>216.24</v>
      </c>
      <c r="M44" s="28">
        <f t="shared" si="3"/>
        <v>329.6</v>
      </c>
      <c r="T44" s="28">
        <v>3</v>
      </c>
    </row>
    <row r="45" spans="1:28" ht="18.75" x14ac:dyDescent="0.3">
      <c r="A45" s="42" t="s">
        <v>70</v>
      </c>
      <c r="B45" s="77">
        <v>10</v>
      </c>
      <c r="C45" s="78"/>
      <c r="D45" s="7">
        <v>0.1</v>
      </c>
      <c r="E45" s="7">
        <v>7.25</v>
      </c>
      <c r="F45" s="7">
        <v>0.13999999999999996</v>
      </c>
      <c r="G45" s="7">
        <v>65.84</v>
      </c>
      <c r="H45" s="19">
        <v>14</v>
      </c>
      <c r="J45" s="28">
        <f t="shared" si="0"/>
        <v>0.4</v>
      </c>
      <c r="K45" s="28">
        <f t="shared" si="1"/>
        <v>65.25</v>
      </c>
      <c r="L45" s="28">
        <f t="shared" si="2"/>
        <v>0.55999999999999983</v>
      </c>
      <c r="M45" s="28">
        <f t="shared" si="3"/>
        <v>66.210000000000008</v>
      </c>
      <c r="T45" s="28">
        <v>3</v>
      </c>
    </row>
    <row r="46" spans="1:28" ht="18.75" x14ac:dyDescent="0.3">
      <c r="A46" s="42" t="s">
        <v>78</v>
      </c>
      <c r="B46" s="86">
        <v>60</v>
      </c>
      <c r="C46" s="87"/>
      <c r="D46" s="7">
        <v>3.63</v>
      </c>
      <c r="E46" s="7">
        <v>3.7650000000000001</v>
      </c>
      <c r="F46" s="7">
        <v>24.045000000000002</v>
      </c>
      <c r="G46" s="7">
        <v>55.83</v>
      </c>
      <c r="H46" s="19">
        <v>576</v>
      </c>
      <c r="J46" s="28">
        <f t="shared" si="0"/>
        <v>14.52</v>
      </c>
      <c r="K46" s="28">
        <f t="shared" si="1"/>
        <v>33.884999999999998</v>
      </c>
      <c r="L46" s="28">
        <f t="shared" si="2"/>
        <v>96.18</v>
      </c>
      <c r="M46" s="28">
        <f t="shared" si="3"/>
        <v>144.58500000000001</v>
      </c>
      <c r="T46" s="28">
        <v>3</v>
      </c>
    </row>
    <row r="47" spans="1:28" ht="18.75" x14ac:dyDescent="0.3">
      <c r="A47" s="42" t="s">
        <v>95</v>
      </c>
      <c r="B47" s="86">
        <v>30</v>
      </c>
      <c r="C47" s="87"/>
      <c r="D47" s="7">
        <f>5.5/100*30</f>
        <v>1.65</v>
      </c>
      <c r="E47" s="7">
        <f>6.5/100*30</f>
        <v>1.9500000000000002</v>
      </c>
      <c r="F47" s="7">
        <f>34.9/100*30</f>
        <v>10.469999999999999</v>
      </c>
      <c r="G47" s="7">
        <f>210.9/100*30</f>
        <v>63.269999999999996</v>
      </c>
      <c r="H47" s="19" t="s">
        <v>8</v>
      </c>
      <c r="T47" s="28">
        <v>3</v>
      </c>
    </row>
    <row r="48" spans="1:28" ht="18.75" x14ac:dyDescent="0.3">
      <c r="A48" s="42" t="s">
        <v>69</v>
      </c>
      <c r="B48" s="86">
        <v>200</v>
      </c>
      <c r="C48" s="87"/>
      <c r="D48" s="7">
        <v>0.17</v>
      </c>
      <c r="E48" s="7">
        <v>0.04</v>
      </c>
      <c r="F48" s="7">
        <v>10.5</v>
      </c>
      <c r="G48" s="7">
        <v>43.04</v>
      </c>
      <c r="H48" s="19">
        <v>376</v>
      </c>
      <c r="J48" s="28">
        <f t="shared" si="0"/>
        <v>0.68</v>
      </c>
      <c r="K48" s="28">
        <f t="shared" si="1"/>
        <v>0.36</v>
      </c>
      <c r="L48" s="28">
        <f t="shared" si="2"/>
        <v>42</v>
      </c>
      <c r="M48" s="28">
        <f t="shared" si="3"/>
        <v>43.04</v>
      </c>
      <c r="T48" s="28">
        <v>3</v>
      </c>
    </row>
    <row r="49" spans="1:28" s="33" customFormat="1" x14ac:dyDescent="0.25">
      <c r="A49" s="9" t="s">
        <v>10</v>
      </c>
      <c r="B49" s="88">
        <f>SUM(B44:C48)</f>
        <v>550</v>
      </c>
      <c r="C49" s="89"/>
      <c r="D49" s="10">
        <f>SUM(D44:D48)</f>
        <v>11.39</v>
      </c>
      <c r="E49" s="10">
        <f>SUM(E44:E48)</f>
        <v>23.004999999999999</v>
      </c>
      <c r="F49" s="10">
        <f>SUM(F44:F48)</f>
        <v>99.215000000000003</v>
      </c>
      <c r="G49" s="10">
        <f>SUM(G44:G48)</f>
        <v>557.58000000000004</v>
      </c>
      <c r="H49" s="24"/>
      <c r="J49" s="28">
        <f t="shared" si="0"/>
        <v>45.56</v>
      </c>
      <c r="K49" s="28">
        <f t="shared" si="1"/>
        <v>207.04499999999999</v>
      </c>
      <c r="L49" s="28">
        <f t="shared" si="2"/>
        <v>396.86</v>
      </c>
      <c r="M49" s="28">
        <f t="shared" si="3"/>
        <v>649.46500000000003</v>
      </c>
      <c r="N49" s="33">
        <f>2350/100*20</f>
        <v>470</v>
      </c>
      <c r="T49" s="28">
        <v>3</v>
      </c>
      <c r="U49" s="33">
        <v>544</v>
      </c>
      <c r="V49" s="33">
        <v>516.79999999999995</v>
      </c>
      <c r="W49" s="33">
        <v>571.20000000000005</v>
      </c>
    </row>
    <row r="50" spans="1:28" ht="18.75" x14ac:dyDescent="0.25">
      <c r="A50" s="81" t="s">
        <v>32</v>
      </c>
      <c r="B50" s="82"/>
      <c r="C50" s="83"/>
      <c r="D50" s="4"/>
      <c r="E50" s="4"/>
      <c r="F50" s="4"/>
      <c r="G50" s="4"/>
      <c r="H50" s="65"/>
      <c r="J50" s="28">
        <f t="shared" si="0"/>
        <v>0</v>
      </c>
      <c r="K50" s="28">
        <f t="shared" si="1"/>
        <v>0</v>
      </c>
      <c r="L50" s="28">
        <f t="shared" si="2"/>
        <v>0</v>
      </c>
      <c r="M50" s="28">
        <f t="shared" si="3"/>
        <v>0</v>
      </c>
      <c r="T50" s="28">
        <v>3</v>
      </c>
      <c r="V50" s="28">
        <v>0</v>
      </c>
      <c r="W50" s="28">
        <v>0</v>
      </c>
    </row>
    <row r="51" spans="1:28" ht="18.75" x14ac:dyDescent="0.25">
      <c r="A51" s="61" t="s">
        <v>96</v>
      </c>
      <c r="B51" s="142">
        <v>100</v>
      </c>
      <c r="C51" s="142"/>
      <c r="D51" s="38">
        <f>2.5-1.3</f>
        <v>1.2</v>
      </c>
      <c r="E51" s="38">
        <f>9-2.8</f>
        <v>6.2</v>
      </c>
      <c r="F51" s="38">
        <v>11.166666666666666</v>
      </c>
      <c r="G51" s="38">
        <v>105.3</v>
      </c>
      <c r="H51" s="44" t="s">
        <v>99</v>
      </c>
      <c r="V51" s="28">
        <v>0</v>
      </c>
      <c r="W51" s="28">
        <v>0</v>
      </c>
      <c r="X51" s="28" t="s">
        <v>100</v>
      </c>
      <c r="Y51" s="28">
        <f>D51*4</f>
        <v>4.8</v>
      </c>
      <c r="Z51" s="28">
        <f>E51*9</f>
        <v>55.800000000000004</v>
      </c>
      <c r="AA51" s="28">
        <f>F51*4</f>
        <v>44.666666666666664</v>
      </c>
      <c r="AB51" s="28">
        <f>SUBTOTAL(9,Y51:AA51)</f>
        <v>105.26666666666667</v>
      </c>
    </row>
    <row r="52" spans="1:28" ht="18.75" x14ac:dyDescent="0.3">
      <c r="A52" s="14" t="s">
        <v>118</v>
      </c>
      <c r="B52" s="75">
        <v>250</v>
      </c>
      <c r="C52" s="76"/>
      <c r="D52" s="73">
        <v>9.6875</v>
      </c>
      <c r="E52" s="73">
        <v>12.975</v>
      </c>
      <c r="F52" s="73">
        <v>13.4375</v>
      </c>
      <c r="G52" s="73">
        <v>209.27499999999998</v>
      </c>
      <c r="H52" s="19">
        <v>108</v>
      </c>
      <c r="J52" s="28">
        <f t="shared" si="0"/>
        <v>38.75</v>
      </c>
      <c r="K52" s="28">
        <f t="shared" si="1"/>
        <v>116.77499999999999</v>
      </c>
      <c r="L52" s="28">
        <f t="shared" si="2"/>
        <v>53.75</v>
      </c>
      <c r="M52" s="28">
        <f t="shared" si="3"/>
        <v>209.27499999999998</v>
      </c>
      <c r="T52" s="28">
        <v>3</v>
      </c>
      <c r="V52" s="28">
        <v>0</v>
      </c>
      <c r="W52" s="28">
        <v>0</v>
      </c>
    </row>
    <row r="53" spans="1:28" ht="18.75" x14ac:dyDescent="0.3">
      <c r="A53" s="43" t="s">
        <v>82</v>
      </c>
      <c r="B53" s="79">
        <v>180</v>
      </c>
      <c r="C53" s="80"/>
      <c r="D53" s="15">
        <v>6.48</v>
      </c>
      <c r="E53" s="15">
        <v>11.04</v>
      </c>
      <c r="F53" s="15">
        <v>31.68</v>
      </c>
      <c r="G53" s="15">
        <v>251.99999999999997</v>
      </c>
      <c r="H53" s="19" t="s">
        <v>89</v>
      </c>
      <c r="J53" s="28">
        <f t="shared" si="0"/>
        <v>25.92</v>
      </c>
      <c r="K53" s="28">
        <f t="shared" si="1"/>
        <v>99.359999999999985</v>
      </c>
      <c r="L53" s="28">
        <f t="shared" si="2"/>
        <v>126.72</v>
      </c>
      <c r="M53" s="28">
        <f t="shared" si="3"/>
        <v>252</v>
      </c>
      <c r="T53" s="28">
        <v>3</v>
      </c>
      <c r="V53" s="28">
        <v>0</v>
      </c>
      <c r="W53" s="28">
        <v>0</v>
      </c>
    </row>
    <row r="54" spans="1:28" ht="18.75" x14ac:dyDescent="0.3">
      <c r="A54" s="14" t="s">
        <v>52</v>
      </c>
      <c r="B54" s="75">
        <v>110</v>
      </c>
      <c r="C54" s="76"/>
      <c r="D54" s="34">
        <v>6.1661157024793392</v>
      </c>
      <c r="E54" s="34">
        <v>5.206611570247933</v>
      </c>
      <c r="F54" s="34">
        <v>6.4710743801652884</v>
      </c>
      <c r="G54" s="34">
        <v>97.048264462809897</v>
      </c>
      <c r="H54" s="19" t="s">
        <v>93</v>
      </c>
      <c r="J54" s="28">
        <f t="shared" si="0"/>
        <v>24.664462809917357</v>
      </c>
      <c r="K54" s="28">
        <f t="shared" si="1"/>
        <v>46.859504132231393</v>
      </c>
      <c r="L54" s="28">
        <f t="shared" si="2"/>
        <v>25.884297520661153</v>
      </c>
      <c r="M54" s="28">
        <f t="shared" si="3"/>
        <v>97.408264462809896</v>
      </c>
      <c r="T54" s="28">
        <v>3</v>
      </c>
      <c r="V54" s="28">
        <v>0</v>
      </c>
      <c r="W54" s="28">
        <v>0</v>
      </c>
    </row>
    <row r="55" spans="1:28" ht="18.75" x14ac:dyDescent="0.3">
      <c r="A55" s="12" t="s">
        <v>13</v>
      </c>
      <c r="B55" s="135">
        <v>200</v>
      </c>
      <c r="C55" s="99"/>
      <c r="D55" s="7">
        <v>0.3</v>
      </c>
      <c r="E55" s="7">
        <v>0.1</v>
      </c>
      <c r="F55" s="7">
        <v>23.666666666666668</v>
      </c>
      <c r="G55" s="7">
        <v>96</v>
      </c>
      <c r="H55" s="19">
        <v>349</v>
      </c>
      <c r="J55" s="28">
        <f t="shared" si="0"/>
        <v>1.2</v>
      </c>
      <c r="K55" s="28">
        <f t="shared" si="1"/>
        <v>0.9</v>
      </c>
      <c r="L55" s="28">
        <f t="shared" si="2"/>
        <v>94.666666666666671</v>
      </c>
      <c r="M55" s="28">
        <f t="shared" si="3"/>
        <v>96.766666666666666</v>
      </c>
      <c r="T55" s="28">
        <v>3</v>
      </c>
      <c r="V55" s="28">
        <v>0</v>
      </c>
      <c r="W55" s="28">
        <v>0</v>
      </c>
    </row>
    <row r="56" spans="1:28" ht="18.75" x14ac:dyDescent="0.3">
      <c r="A56" s="42" t="s">
        <v>14</v>
      </c>
      <c r="B56" s="86">
        <v>20</v>
      </c>
      <c r="C56" s="87"/>
      <c r="D56" s="7">
        <v>1</v>
      </c>
      <c r="E56" s="7">
        <v>0.2</v>
      </c>
      <c r="F56" s="7">
        <v>9.2000000000000011</v>
      </c>
      <c r="G56" s="7">
        <v>42.347999999999999</v>
      </c>
      <c r="H56" s="19">
        <v>574</v>
      </c>
      <c r="J56" s="28">
        <f t="shared" si="0"/>
        <v>4</v>
      </c>
      <c r="K56" s="28">
        <f t="shared" si="1"/>
        <v>1.8</v>
      </c>
      <c r="L56" s="28">
        <f t="shared" si="2"/>
        <v>36.800000000000004</v>
      </c>
      <c r="M56" s="28">
        <f t="shared" si="3"/>
        <v>42.6</v>
      </c>
      <c r="T56" s="28">
        <v>3</v>
      </c>
    </row>
    <row r="57" spans="1:28" ht="18.75" x14ac:dyDescent="0.3">
      <c r="A57" s="42" t="s">
        <v>15</v>
      </c>
      <c r="B57" s="86">
        <v>30</v>
      </c>
      <c r="C57" s="87"/>
      <c r="D57" s="7">
        <v>2.25</v>
      </c>
      <c r="E57" s="7">
        <v>0.22200000000000003</v>
      </c>
      <c r="F57" s="7">
        <v>14.549999999999999</v>
      </c>
      <c r="G57" s="7">
        <v>69.3</v>
      </c>
      <c r="H57" s="19">
        <v>573</v>
      </c>
      <c r="J57" s="28">
        <f t="shared" si="0"/>
        <v>9</v>
      </c>
      <c r="K57" s="28">
        <f t="shared" si="1"/>
        <v>1.9980000000000002</v>
      </c>
      <c r="L57" s="28">
        <f t="shared" si="2"/>
        <v>58.199999999999996</v>
      </c>
      <c r="M57" s="28">
        <f t="shared" si="3"/>
        <v>69.197999999999993</v>
      </c>
      <c r="T57" s="28">
        <v>3</v>
      </c>
      <c r="V57" s="28">
        <v>0</v>
      </c>
      <c r="W57" s="28">
        <v>0</v>
      </c>
    </row>
    <row r="58" spans="1:28" s="33" customFormat="1" x14ac:dyDescent="0.25">
      <c r="A58" s="9" t="s">
        <v>16</v>
      </c>
      <c r="B58" s="88">
        <f>SUM(B51:C57)</f>
        <v>890</v>
      </c>
      <c r="C58" s="89"/>
      <c r="D58" s="4">
        <f>SUM(D51:D57)</f>
        <v>27.083615702479339</v>
      </c>
      <c r="E58" s="4">
        <f>SUM(E51:E57)</f>
        <v>35.943611570247938</v>
      </c>
      <c r="F58" s="4">
        <f>SUM(F51:F57)</f>
        <v>110.17190771349863</v>
      </c>
      <c r="G58" s="4">
        <f>SUM(G51:G57)</f>
        <v>871.27126446280977</v>
      </c>
      <c r="H58" s="24"/>
      <c r="J58" s="28">
        <f t="shared" si="0"/>
        <v>108.33446280991735</v>
      </c>
      <c r="K58" s="28">
        <f t="shared" si="1"/>
        <v>323.49250413223143</v>
      </c>
      <c r="L58" s="28">
        <f t="shared" si="2"/>
        <v>440.68763085399451</v>
      </c>
      <c r="M58" s="28">
        <f t="shared" si="3"/>
        <v>872.51459779614333</v>
      </c>
      <c r="N58" s="33">
        <f>2350/100*30</f>
        <v>705</v>
      </c>
      <c r="T58" s="28">
        <v>3</v>
      </c>
      <c r="U58" s="33">
        <v>816</v>
      </c>
      <c r="V58" s="33">
        <v>775.2</v>
      </c>
      <c r="W58" s="33">
        <v>856.8</v>
      </c>
    </row>
    <row r="59" spans="1:28" s="30" customFormat="1" x14ac:dyDescent="0.25">
      <c r="A59" s="32" t="s">
        <v>17</v>
      </c>
      <c r="B59" s="129"/>
      <c r="C59" s="130"/>
      <c r="D59" s="4">
        <f>D49+D58</f>
        <v>38.473615702479336</v>
      </c>
      <c r="E59" s="4">
        <f>E49+E58</f>
        <v>58.948611570247934</v>
      </c>
      <c r="F59" s="4">
        <f>F49+F58</f>
        <v>209.38690771349863</v>
      </c>
      <c r="G59" s="4">
        <f>G49+G58</f>
        <v>1428.8512644628099</v>
      </c>
      <c r="H59" s="8"/>
      <c r="J59" s="28">
        <f t="shared" si="0"/>
        <v>153.89446280991734</v>
      </c>
      <c r="K59" s="28">
        <f t="shared" si="1"/>
        <v>530.53750413223145</v>
      </c>
      <c r="L59" s="28">
        <f t="shared" si="2"/>
        <v>837.54763085399452</v>
      </c>
      <c r="M59" s="28">
        <f t="shared" si="3"/>
        <v>1521.9795977961435</v>
      </c>
      <c r="N59" s="33">
        <f>2350/100*50</f>
        <v>1175</v>
      </c>
      <c r="T59" s="28">
        <v>3</v>
      </c>
      <c r="U59" s="33">
        <v>1360</v>
      </c>
      <c r="V59" s="30">
        <v>68</v>
      </c>
      <c r="W59" s="30">
        <v>1292</v>
      </c>
    </row>
    <row r="60" spans="1:28" ht="18.75" x14ac:dyDescent="0.25">
      <c r="A60" s="81" t="s">
        <v>36</v>
      </c>
      <c r="B60" s="82"/>
      <c r="C60" s="82"/>
      <c r="D60" s="82"/>
      <c r="E60" s="82"/>
      <c r="F60" s="82"/>
      <c r="G60" s="83"/>
      <c r="H60" s="65"/>
      <c r="J60" s="28">
        <f t="shared" si="0"/>
        <v>0</v>
      </c>
      <c r="K60" s="28">
        <f t="shared" si="1"/>
        <v>0</v>
      </c>
      <c r="L60" s="28">
        <f t="shared" si="2"/>
        <v>0</v>
      </c>
      <c r="M60" s="28">
        <f t="shared" si="3"/>
        <v>0</v>
      </c>
      <c r="U60" s="30"/>
      <c r="V60" s="30"/>
      <c r="W60" s="30"/>
    </row>
    <row r="61" spans="1:28" ht="18.75" x14ac:dyDescent="0.25">
      <c r="A61" s="39" t="s">
        <v>34</v>
      </c>
      <c r="B61" s="81"/>
      <c r="C61" s="83"/>
      <c r="D61" s="4"/>
      <c r="E61" s="4"/>
      <c r="F61" s="4"/>
      <c r="G61" s="4"/>
      <c r="H61" s="65"/>
      <c r="J61" s="28">
        <f t="shared" si="0"/>
        <v>0</v>
      </c>
      <c r="K61" s="28">
        <f t="shared" si="1"/>
        <v>0</v>
      </c>
      <c r="L61" s="28">
        <f t="shared" si="2"/>
        <v>0</v>
      </c>
      <c r="M61" s="28">
        <f t="shared" si="3"/>
        <v>0</v>
      </c>
    </row>
    <row r="62" spans="1:28" ht="18.75" x14ac:dyDescent="0.3">
      <c r="A62" s="43" t="s">
        <v>107</v>
      </c>
      <c r="B62" s="140" t="s">
        <v>106</v>
      </c>
      <c r="C62" s="141"/>
      <c r="D62" s="17">
        <v>3.8</v>
      </c>
      <c r="E62" s="17">
        <v>15.6</v>
      </c>
      <c r="F62" s="17">
        <v>40.200000000000003</v>
      </c>
      <c r="G62" s="17">
        <v>356.4</v>
      </c>
      <c r="H62" s="19">
        <v>397</v>
      </c>
      <c r="J62" s="28">
        <f t="shared" si="0"/>
        <v>15.2</v>
      </c>
      <c r="K62" s="28">
        <f t="shared" si="1"/>
        <v>140.4</v>
      </c>
      <c r="L62" s="28">
        <f t="shared" si="2"/>
        <v>160.80000000000001</v>
      </c>
      <c r="M62" s="28">
        <f t="shared" si="3"/>
        <v>316.39999999999998</v>
      </c>
      <c r="T62" s="28">
        <v>4</v>
      </c>
    </row>
    <row r="63" spans="1:28" ht="18.75" x14ac:dyDescent="0.3">
      <c r="A63" s="43" t="s">
        <v>108</v>
      </c>
      <c r="B63" s="140" t="s">
        <v>109</v>
      </c>
      <c r="C63" s="141"/>
      <c r="D63" s="17">
        <v>1.8</v>
      </c>
      <c r="E63" s="17">
        <v>0.4</v>
      </c>
      <c r="F63" s="17">
        <v>20.7</v>
      </c>
      <c r="G63" s="17">
        <v>94</v>
      </c>
      <c r="H63" s="19" t="s">
        <v>8</v>
      </c>
    </row>
    <row r="64" spans="1:28" ht="18.75" x14ac:dyDescent="0.3">
      <c r="A64" s="42" t="s">
        <v>95</v>
      </c>
      <c r="B64" s="86">
        <v>50</v>
      </c>
      <c r="C64" s="87"/>
      <c r="D64" s="7">
        <v>2.75</v>
      </c>
      <c r="E64" s="7">
        <v>3.25</v>
      </c>
      <c r="F64" s="7">
        <v>17.45</v>
      </c>
      <c r="G64" s="7">
        <v>105.45</v>
      </c>
      <c r="H64" s="19" t="s">
        <v>8</v>
      </c>
    </row>
    <row r="65" spans="1:28" ht="18.75" x14ac:dyDescent="0.3">
      <c r="A65" s="42" t="s">
        <v>9</v>
      </c>
      <c r="B65" s="101">
        <v>200</v>
      </c>
      <c r="C65" s="102"/>
      <c r="D65" s="7">
        <v>0.17</v>
      </c>
      <c r="E65" s="7">
        <v>0.04</v>
      </c>
      <c r="F65" s="7">
        <v>10.5</v>
      </c>
      <c r="G65" s="7">
        <v>43.04</v>
      </c>
      <c r="H65" s="19">
        <v>376</v>
      </c>
      <c r="J65" s="28">
        <f t="shared" si="0"/>
        <v>0.68</v>
      </c>
      <c r="K65" s="28">
        <f t="shared" si="1"/>
        <v>0.36</v>
      </c>
      <c r="L65" s="28">
        <f t="shared" si="2"/>
        <v>42</v>
      </c>
      <c r="M65" s="28">
        <f t="shared" si="3"/>
        <v>43.04</v>
      </c>
      <c r="T65" s="28">
        <v>4</v>
      </c>
    </row>
    <row r="66" spans="1:28" s="30" customFormat="1" x14ac:dyDescent="0.25">
      <c r="A66" s="9" t="s">
        <v>10</v>
      </c>
      <c r="B66" s="136">
        <f>130+40+50+200+130</f>
        <v>550</v>
      </c>
      <c r="C66" s="104"/>
      <c r="D66" s="10">
        <f>SUM(D62:D65)</f>
        <v>8.52</v>
      </c>
      <c r="E66" s="10">
        <f t="shared" ref="E66:G66" si="10">SUM(E62:E65)</f>
        <v>19.29</v>
      </c>
      <c r="F66" s="10">
        <f t="shared" si="10"/>
        <v>88.850000000000009</v>
      </c>
      <c r="G66" s="10">
        <f t="shared" si="10"/>
        <v>598.89</v>
      </c>
      <c r="H66" s="24"/>
      <c r="J66" s="28">
        <f t="shared" si="0"/>
        <v>34.08</v>
      </c>
      <c r="K66" s="28">
        <f t="shared" si="1"/>
        <v>173.60999999999999</v>
      </c>
      <c r="L66" s="28">
        <f t="shared" si="2"/>
        <v>355.40000000000003</v>
      </c>
      <c r="M66" s="28">
        <f t="shared" si="3"/>
        <v>563.09</v>
      </c>
      <c r="N66" s="33">
        <f>2350/100*20</f>
        <v>470</v>
      </c>
      <c r="T66" s="28">
        <v>4</v>
      </c>
      <c r="U66" s="33">
        <v>544</v>
      </c>
      <c r="V66" s="33">
        <v>516.79999999999995</v>
      </c>
      <c r="W66" s="33">
        <v>571.20000000000005</v>
      </c>
    </row>
    <row r="67" spans="1:28" s="30" customFormat="1" ht="18.75" x14ac:dyDescent="0.25">
      <c r="A67" s="39" t="s">
        <v>32</v>
      </c>
      <c r="B67" s="11"/>
      <c r="C67" s="11"/>
      <c r="D67" s="4"/>
      <c r="E67" s="4"/>
      <c r="F67" s="4"/>
      <c r="G67" s="4"/>
      <c r="H67" s="44"/>
      <c r="J67" s="28">
        <f t="shared" si="0"/>
        <v>0</v>
      </c>
      <c r="K67" s="28">
        <f t="shared" si="1"/>
        <v>0</v>
      </c>
      <c r="L67" s="28">
        <f t="shared" si="2"/>
        <v>0</v>
      </c>
      <c r="M67" s="28">
        <f t="shared" si="3"/>
        <v>0</v>
      </c>
      <c r="N67" s="28"/>
      <c r="T67" s="28">
        <v>4</v>
      </c>
      <c r="U67" s="28"/>
      <c r="V67" s="28">
        <v>0</v>
      </c>
      <c r="W67" s="28">
        <v>0</v>
      </c>
    </row>
    <row r="68" spans="1:28" s="30" customFormat="1" ht="18.75" x14ac:dyDescent="0.25">
      <c r="A68" s="61" t="s">
        <v>115</v>
      </c>
      <c r="B68" s="138">
        <v>100</v>
      </c>
      <c r="C68" s="139"/>
      <c r="D68" s="38">
        <v>0</v>
      </c>
      <c r="E68" s="38">
        <v>0</v>
      </c>
      <c r="F68" s="38">
        <v>1.7</v>
      </c>
      <c r="G68" s="38">
        <v>6.8</v>
      </c>
      <c r="H68" s="44">
        <v>149</v>
      </c>
      <c r="J68" s="28"/>
      <c r="K68" s="28"/>
      <c r="L68" s="28"/>
      <c r="M68" s="28"/>
      <c r="N68" s="28"/>
      <c r="T68" s="28">
        <v>4</v>
      </c>
      <c r="U68" s="28"/>
      <c r="V68" s="28">
        <v>0</v>
      </c>
      <c r="W68" s="28">
        <v>0</v>
      </c>
      <c r="X68" s="30" t="s">
        <v>100</v>
      </c>
      <c r="Y68" s="28">
        <f>D68*4</f>
        <v>0</v>
      </c>
      <c r="Z68" s="28">
        <f>E68*9</f>
        <v>0</v>
      </c>
      <c r="AA68" s="28">
        <f>F68*4</f>
        <v>6.8</v>
      </c>
      <c r="AB68" s="28">
        <f>SUBTOTAL(9,Y68:AA68)</f>
        <v>6.8</v>
      </c>
    </row>
    <row r="69" spans="1:28" ht="18.75" x14ac:dyDescent="0.3">
      <c r="A69" s="18" t="s">
        <v>50</v>
      </c>
      <c r="B69" s="137">
        <v>250</v>
      </c>
      <c r="C69" s="91"/>
      <c r="D69" s="40">
        <v>6.875</v>
      </c>
      <c r="E69" s="40">
        <v>19.375</v>
      </c>
      <c r="F69" s="40">
        <v>5.3374999999999995</v>
      </c>
      <c r="G69" s="40">
        <v>223.22499999999999</v>
      </c>
      <c r="H69" s="19">
        <v>82</v>
      </c>
      <c r="J69" s="28">
        <f t="shared" si="0"/>
        <v>27.5</v>
      </c>
      <c r="K69" s="28">
        <f t="shared" si="1"/>
        <v>174.375</v>
      </c>
      <c r="L69" s="28">
        <f t="shared" si="2"/>
        <v>21.349999999999998</v>
      </c>
      <c r="M69" s="28">
        <f t="shared" si="3"/>
        <v>223.22499999999999</v>
      </c>
      <c r="T69" s="28">
        <v>4</v>
      </c>
      <c r="V69" s="28">
        <v>0</v>
      </c>
      <c r="W69" s="28">
        <v>0</v>
      </c>
    </row>
    <row r="70" spans="1:28" ht="18.75" x14ac:dyDescent="0.3">
      <c r="A70" s="42" t="s">
        <v>11</v>
      </c>
      <c r="B70" s="86">
        <v>180</v>
      </c>
      <c r="C70" s="87"/>
      <c r="D70" s="7">
        <f>4.9/150*180</f>
        <v>5.8800000000000008</v>
      </c>
      <c r="E70" s="7">
        <f>10.6/150*180</f>
        <v>12.72</v>
      </c>
      <c r="F70" s="7">
        <f>11.9/150*180</f>
        <v>14.280000000000001</v>
      </c>
      <c r="G70" s="7">
        <f>162.6/150*180</f>
        <v>195.11999999999998</v>
      </c>
      <c r="H70" s="19">
        <v>171</v>
      </c>
      <c r="J70" s="28">
        <f t="shared" si="0"/>
        <v>23.520000000000003</v>
      </c>
      <c r="K70" s="28">
        <f t="shared" si="1"/>
        <v>114.48</v>
      </c>
      <c r="L70" s="28">
        <f t="shared" si="2"/>
        <v>57.120000000000005</v>
      </c>
      <c r="M70" s="28">
        <f t="shared" si="3"/>
        <v>195.12</v>
      </c>
      <c r="T70" s="28">
        <v>4</v>
      </c>
      <c r="V70" s="28">
        <v>0</v>
      </c>
      <c r="W70" s="28">
        <v>0</v>
      </c>
    </row>
    <row r="71" spans="1:28" ht="37.5" x14ac:dyDescent="0.3">
      <c r="A71" s="5" t="s">
        <v>29</v>
      </c>
      <c r="B71" s="77">
        <v>110</v>
      </c>
      <c r="C71" s="78"/>
      <c r="D71" s="13">
        <v>11.65</v>
      </c>
      <c r="E71" s="13">
        <v>7.08</v>
      </c>
      <c r="F71" s="13">
        <v>12.727272727272727</v>
      </c>
      <c r="G71" s="13">
        <v>183.69</v>
      </c>
      <c r="H71" s="19" t="s">
        <v>87</v>
      </c>
      <c r="J71" s="28">
        <f t="shared" si="0"/>
        <v>46.6</v>
      </c>
      <c r="K71" s="28">
        <f t="shared" si="1"/>
        <v>63.72</v>
      </c>
      <c r="L71" s="28">
        <f t="shared" si="2"/>
        <v>50.909090909090907</v>
      </c>
      <c r="M71" s="28">
        <f t="shared" si="3"/>
        <v>161.2290909090909</v>
      </c>
      <c r="T71" s="28">
        <v>4</v>
      </c>
      <c r="V71" s="28">
        <v>0</v>
      </c>
      <c r="W71" s="28">
        <v>0</v>
      </c>
    </row>
    <row r="72" spans="1:28" ht="18.75" x14ac:dyDescent="0.3">
      <c r="A72" s="12" t="s">
        <v>64</v>
      </c>
      <c r="B72" s="77">
        <v>200</v>
      </c>
      <c r="C72" s="78"/>
      <c r="D72" s="13">
        <v>0.27</v>
      </c>
      <c r="E72" s="13">
        <v>0.1</v>
      </c>
      <c r="F72" s="7">
        <v>26.55</v>
      </c>
      <c r="G72" s="7">
        <v>108.2</v>
      </c>
      <c r="H72" s="19">
        <v>484</v>
      </c>
      <c r="J72" s="28">
        <f t="shared" si="0"/>
        <v>1.08</v>
      </c>
      <c r="K72" s="28">
        <f t="shared" si="1"/>
        <v>0.9</v>
      </c>
      <c r="L72" s="28">
        <f t="shared" si="2"/>
        <v>106.2</v>
      </c>
      <c r="M72" s="28">
        <f t="shared" si="3"/>
        <v>108.18</v>
      </c>
      <c r="T72" s="28">
        <v>4</v>
      </c>
    </row>
    <row r="73" spans="1:28" s="30" customFormat="1" ht="18.75" x14ac:dyDescent="0.3">
      <c r="A73" s="42" t="s">
        <v>14</v>
      </c>
      <c r="B73" s="86">
        <v>20</v>
      </c>
      <c r="C73" s="87"/>
      <c r="D73" s="7">
        <v>1</v>
      </c>
      <c r="E73" s="7">
        <v>0.2</v>
      </c>
      <c r="F73" s="7">
        <v>9.2000000000000011</v>
      </c>
      <c r="G73" s="7">
        <v>42.347999999999999</v>
      </c>
      <c r="H73" s="19">
        <v>574</v>
      </c>
      <c r="J73" s="28">
        <f t="shared" si="0"/>
        <v>4</v>
      </c>
      <c r="K73" s="28">
        <f t="shared" si="1"/>
        <v>1.8</v>
      </c>
      <c r="L73" s="28">
        <f t="shared" si="2"/>
        <v>36.800000000000004</v>
      </c>
      <c r="M73" s="28">
        <f t="shared" si="3"/>
        <v>42.6</v>
      </c>
      <c r="N73" s="28"/>
      <c r="T73" s="28">
        <v>4</v>
      </c>
      <c r="U73" s="28"/>
      <c r="V73" s="28">
        <v>0</v>
      </c>
      <c r="W73" s="28">
        <v>0</v>
      </c>
    </row>
    <row r="74" spans="1:28" s="30" customFormat="1" ht="18.75" x14ac:dyDescent="0.3">
      <c r="A74" s="42" t="s">
        <v>15</v>
      </c>
      <c r="B74" s="86">
        <v>30</v>
      </c>
      <c r="C74" s="87"/>
      <c r="D74" s="7">
        <v>2.25</v>
      </c>
      <c r="E74" s="7">
        <v>0.22200000000000003</v>
      </c>
      <c r="F74" s="7">
        <v>14.549999999999999</v>
      </c>
      <c r="G74" s="7">
        <v>69.3</v>
      </c>
      <c r="H74" s="19">
        <v>573</v>
      </c>
      <c r="J74" s="28">
        <f t="shared" si="0"/>
        <v>9</v>
      </c>
      <c r="K74" s="28">
        <f t="shared" si="1"/>
        <v>1.9980000000000002</v>
      </c>
      <c r="L74" s="28">
        <f t="shared" si="2"/>
        <v>58.199999999999996</v>
      </c>
      <c r="M74" s="28">
        <f t="shared" si="3"/>
        <v>69.197999999999993</v>
      </c>
      <c r="N74" s="28"/>
      <c r="T74" s="28">
        <v>4</v>
      </c>
      <c r="U74" s="28"/>
      <c r="V74" s="28">
        <v>0</v>
      </c>
      <c r="W74" s="28">
        <v>0</v>
      </c>
    </row>
    <row r="75" spans="1:28" s="30" customFormat="1" x14ac:dyDescent="0.25">
      <c r="A75" s="9" t="s">
        <v>16</v>
      </c>
      <c r="B75" s="88">
        <f>SUM(B68:C74)</f>
        <v>890</v>
      </c>
      <c r="C75" s="89"/>
      <c r="D75" s="4">
        <f>SUM(D68:D74)</f>
        <v>27.925000000000001</v>
      </c>
      <c r="E75" s="4">
        <f t="shared" ref="E75:G75" si="11">SUM(E68:E74)</f>
        <v>39.697000000000003</v>
      </c>
      <c r="F75" s="4">
        <f t="shared" si="11"/>
        <v>84.344772727272726</v>
      </c>
      <c r="G75" s="4">
        <f t="shared" si="11"/>
        <v>828.68299999999999</v>
      </c>
      <c r="H75" s="24"/>
      <c r="J75" s="28">
        <f t="shared" si="0"/>
        <v>111.7</v>
      </c>
      <c r="K75" s="28">
        <f t="shared" si="1"/>
        <v>357.27300000000002</v>
      </c>
      <c r="L75" s="28">
        <f t="shared" si="2"/>
        <v>337.37909090909091</v>
      </c>
      <c r="M75" s="28">
        <f t="shared" si="3"/>
        <v>806.35209090909098</v>
      </c>
      <c r="N75" s="33">
        <f>2350/100*30</f>
        <v>705</v>
      </c>
      <c r="T75" s="28">
        <v>4</v>
      </c>
      <c r="U75" s="33">
        <v>816</v>
      </c>
      <c r="V75" s="33">
        <v>775.2</v>
      </c>
      <c r="W75" s="33">
        <v>856.8</v>
      </c>
    </row>
    <row r="76" spans="1:28" x14ac:dyDescent="0.25">
      <c r="A76" s="32" t="s">
        <v>17</v>
      </c>
      <c r="B76" s="129"/>
      <c r="C76" s="130"/>
      <c r="D76" s="4">
        <f>D66+D75</f>
        <v>36.445</v>
      </c>
      <c r="E76" s="4">
        <f t="shared" ref="E76:G76" si="12">E66+E75</f>
        <v>58.987000000000002</v>
      </c>
      <c r="F76" s="4">
        <f t="shared" si="12"/>
        <v>173.19477272727272</v>
      </c>
      <c r="G76" s="4">
        <f t="shared" si="12"/>
        <v>1427.5729999999999</v>
      </c>
      <c r="H76" s="8"/>
      <c r="J76" s="28">
        <f t="shared" si="0"/>
        <v>145.78</v>
      </c>
      <c r="K76" s="28">
        <f t="shared" si="1"/>
        <v>530.88300000000004</v>
      </c>
      <c r="L76" s="28">
        <f t="shared" si="2"/>
        <v>692.77909090909088</v>
      </c>
      <c r="M76" s="28">
        <f t="shared" si="3"/>
        <v>1369.4420909090909</v>
      </c>
      <c r="N76" s="33">
        <f>2350/100*50</f>
        <v>1175</v>
      </c>
      <c r="U76" s="33">
        <v>1360</v>
      </c>
      <c r="V76" s="30">
        <v>68</v>
      </c>
      <c r="W76" s="30">
        <v>1292</v>
      </c>
    </row>
    <row r="77" spans="1:28" ht="18.75" x14ac:dyDescent="0.25">
      <c r="A77" s="81" t="s">
        <v>37</v>
      </c>
      <c r="B77" s="82"/>
      <c r="C77" s="82"/>
      <c r="D77" s="82"/>
      <c r="E77" s="82"/>
      <c r="F77" s="82"/>
      <c r="G77" s="83"/>
      <c r="H77" s="65"/>
      <c r="J77" s="28">
        <f t="shared" si="0"/>
        <v>0</v>
      </c>
      <c r="K77" s="28">
        <f t="shared" si="1"/>
        <v>0</v>
      </c>
      <c r="L77" s="28">
        <f t="shared" si="2"/>
        <v>0</v>
      </c>
      <c r="M77" s="28">
        <f t="shared" si="3"/>
        <v>0</v>
      </c>
    </row>
    <row r="78" spans="1:28" ht="18.75" x14ac:dyDescent="0.25">
      <c r="A78" s="81" t="s">
        <v>34</v>
      </c>
      <c r="B78" s="82"/>
      <c r="C78" s="83"/>
      <c r="D78" s="4"/>
      <c r="E78" s="4"/>
      <c r="F78" s="4"/>
      <c r="G78" s="4"/>
      <c r="H78" s="65"/>
      <c r="J78" s="28">
        <f t="shared" si="0"/>
        <v>0</v>
      </c>
      <c r="K78" s="28">
        <f t="shared" si="1"/>
        <v>0</v>
      </c>
      <c r="L78" s="28">
        <f t="shared" si="2"/>
        <v>0</v>
      </c>
      <c r="M78" s="28">
        <f t="shared" si="3"/>
        <v>0</v>
      </c>
    </row>
    <row r="79" spans="1:28" ht="18.75" x14ac:dyDescent="0.3">
      <c r="A79" s="5" t="s">
        <v>110</v>
      </c>
      <c r="B79" s="100">
        <v>220</v>
      </c>
      <c r="C79" s="100"/>
      <c r="D79" s="7">
        <v>6.38</v>
      </c>
      <c r="E79" s="7">
        <v>7.7000000000000011</v>
      </c>
      <c r="F79" s="7">
        <v>59.510000000000005</v>
      </c>
      <c r="G79" s="7">
        <v>332.41999999999996</v>
      </c>
      <c r="H79" s="19">
        <v>175</v>
      </c>
      <c r="J79" s="28">
        <f t="shared" si="0"/>
        <v>25.52</v>
      </c>
      <c r="K79" s="28">
        <f t="shared" si="1"/>
        <v>69.300000000000011</v>
      </c>
      <c r="L79" s="28">
        <f t="shared" si="2"/>
        <v>238.04000000000002</v>
      </c>
      <c r="M79" s="28">
        <f t="shared" si="3"/>
        <v>332.86</v>
      </c>
      <c r="T79" s="28">
        <v>5</v>
      </c>
    </row>
    <row r="80" spans="1:28" ht="18.75" x14ac:dyDescent="0.3">
      <c r="A80" s="42" t="s">
        <v>83</v>
      </c>
      <c r="B80" s="86">
        <v>100</v>
      </c>
      <c r="C80" s="87"/>
      <c r="D80" s="7">
        <f>0.9/100*150</f>
        <v>1.35</v>
      </c>
      <c r="E80" s="7">
        <f>0.23/100*150</f>
        <v>0.34499999999999997</v>
      </c>
      <c r="F80" s="7">
        <f>11.8/100*150-1.75</f>
        <v>15.950000000000003</v>
      </c>
      <c r="G80" s="7">
        <v>72.3</v>
      </c>
      <c r="H80" s="19" t="s">
        <v>58</v>
      </c>
      <c r="J80" s="28">
        <f t="shared" si="0"/>
        <v>5.4</v>
      </c>
      <c r="K80" s="28">
        <f t="shared" si="1"/>
        <v>3.1049999999999995</v>
      </c>
      <c r="L80" s="28">
        <f t="shared" si="2"/>
        <v>63.800000000000011</v>
      </c>
      <c r="M80" s="28">
        <f t="shared" si="3"/>
        <v>72.305000000000007</v>
      </c>
      <c r="T80" s="28">
        <v>5</v>
      </c>
    </row>
    <row r="81" spans="1:28" ht="18.75" x14ac:dyDescent="0.3">
      <c r="A81" s="42" t="s">
        <v>95</v>
      </c>
      <c r="B81" s="86">
        <v>30</v>
      </c>
      <c r="C81" s="87"/>
      <c r="D81" s="7">
        <f>5.5/100*30</f>
        <v>1.65</v>
      </c>
      <c r="E81" s="7">
        <f>6.5/100*30</f>
        <v>1.9500000000000002</v>
      </c>
      <c r="F81" s="7">
        <f>34.9/100*30</f>
        <v>10.469999999999999</v>
      </c>
      <c r="G81" s="7">
        <f>210.9/100*30</f>
        <v>63.269999999999996</v>
      </c>
      <c r="H81" s="19" t="s">
        <v>8</v>
      </c>
    </row>
    <row r="82" spans="1:28" ht="18.75" x14ac:dyDescent="0.3">
      <c r="A82" s="16" t="s">
        <v>18</v>
      </c>
      <c r="B82" s="86">
        <v>200</v>
      </c>
      <c r="C82" s="87"/>
      <c r="D82" s="7">
        <v>0.26</v>
      </c>
      <c r="E82" s="7">
        <v>0.05</v>
      </c>
      <c r="F82" s="7">
        <v>12.26</v>
      </c>
      <c r="G82" s="7">
        <v>49.72</v>
      </c>
      <c r="H82" s="19">
        <v>377</v>
      </c>
      <c r="J82" s="28">
        <f t="shared" si="0"/>
        <v>1.04</v>
      </c>
      <c r="K82" s="28">
        <f t="shared" si="1"/>
        <v>0.45</v>
      </c>
      <c r="L82" s="28">
        <f t="shared" si="2"/>
        <v>49.04</v>
      </c>
      <c r="M82" s="28">
        <f t="shared" si="3"/>
        <v>50.53</v>
      </c>
      <c r="T82" s="28">
        <v>5</v>
      </c>
    </row>
    <row r="83" spans="1:28" s="30" customFormat="1" x14ac:dyDescent="0.25">
      <c r="A83" s="9" t="s">
        <v>10</v>
      </c>
      <c r="B83" s="88">
        <f>SUM(B79:C82)</f>
        <v>550</v>
      </c>
      <c r="C83" s="89"/>
      <c r="D83" s="4">
        <f>SUM(D79:D82)</f>
        <v>9.64</v>
      </c>
      <c r="E83" s="4">
        <f>SUM(E79:E82)</f>
        <v>10.045000000000002</v>
      </c>
      <c r="F83" s="4">
        <f>SUM(F79:F82)</f>
        <v>98.190000000000012</v>
      </c>
      <c r="G83" s="4">
        <f>SUM(G79:G82)</f>
        <v>517.70999999999992</v>
      </c>
      <c r="H83" s="24"/>
      <c r="J83" s="28">
        <f t="shared" si="0"/>
        <v>38.56</v>
      </c>
      <c r="K83" s="28">
        <f t="shared" si="1"/>
        <v>90.405000000000015</v>
      </c>
      <c r="L83" s="28">
        <f t="shared" si="2"/>
        <v>392.76000000000005</v>
      </c>
      <c r="M83" s="28">
        <f t="shared" si="3"/>
        <v>521.72500000000014</v>
      </c>
      <c r="N83" s="33">
        <f>2350/100*20</f>
        <v>470</v>
      </c>
      <c r="T83" s="28">
        <v>5</v>
      </c>
      <c r="U83" s="33">
        <v>544</v>
      </c>
      <c r="V83" s="30">
        <v>516.79999999999995</v>
      </c>
      <c r="W83" s="33">
        <v>571.20000000000005</v>
      </c>
    </row>
    <row r="84" spans="1:28" s="30" customFormat="1" ht="18.75" x14ac:dyDescent="0.25">
      <c r="A84" s="81" t="s">
        <v>32</v>
      </c>
      <c r="B84" s="82"/>
      <c r="C84" s="83"/>
      <c r="D84" s="4"/>
      <c r="E84" s="4"/>
      <c r="F84" s="4"/>
      <c r="G84" s="4"/>
      <c r="H84" s="29"/>
      <c r="J84" s="28">
        <f t="shared" ref="J84:J158" si="13">D84*4</f>
        <v>0</v>
      </c>
      <c r="K84" s="28">
        <f t="shared" ref="K84:K158" si="14">E84*9</f>
        <v>0</v>
      </c>
      <c r="L84" s="28">
        <f t="shared" ref="L84:L158" si="15">F84*4</f>
        <v>0</v>
      </c>
      <c r="M84" s="28">
        <f t="shared" ref="M84:M158" si="16">SUM(J84:L84)</f>
        <v>0</v>
      </c>
      <c r="N84" s="28"/>
      <c r="T84" s="28">
        <v>5</v>
      </c>
      <c r="U84" s="28"/>
      <c r="W84" s="28">
        <v>0</v>
      </c>
    </row>
    <row r="85" spans="1:28" s="30" customFormat="1" ht="18.75" x14ac:dyDescent="0.25">
      <c r="A85" s="61" t="s">
        <v>97</v>
      </c>
      <c r="B85" s="142">
        <v>100</v>
      </c>
      <c r="C85" s="142"/>
      <c r="D85" s="68">
        <v>1.1666666666666665</v>
      </c>
      <c r="E85" s="68">
        <f>3.7</f>
        <v>3.7</v>
      </c>
      <c r="F85" s="68">
        <v>4.7</v>
      </c>
      <c r="G85" s="68">
        <v>56.76</v>
      </c>
      <c r="H85" s="44">
        <v>45</v>
      </c>
      <c r="J85" s="28"/>
      <c r="K85" s="28"/>
      <c r="L85" s="28"/>
      <c r="M85" s="28"/>
      <c r="N85" s="28"/>
      <c r="T85" s="28">
        <v>5</v>
      </c>
      <c r="U85" s="28"/>
      <c r="W85" s="28">
        <v>0</v>
      </c>
      <c r="X85" s="30" t="s">
        <v>100</v>
      </c>
      <c r="Y85" s="28">
        <f>D85*4</f>
        <v>4.6666666666666661</v>
      </c>
      <c r="Z85" s="28">
        <f>E85*9</f>
        <v>33.300000000000004</v>
      </c>
      <c r="AA85" s="28">
        <f>F85*4</f>
        <v>18.8</v>
      </c>
      <c r="AB85" s="28">
        <f>SUBTOTAL(9,Y85:AA85)</f>
        <v>56.766666666666666</v>
      </c>
    </row>
    <row r="86" spans="1:28" ht="37.5" x14ac:dyDescent="0.3">
      <c r="A86" s="74" t="s">
        <v>119</v>
      </c>
      <c r="B86" s="124">
        <v>200</v>
      </c>
      <c r="C86" s="125"/>
      <c r="D86" s="20">
        <v>4.21</v>
      </c>
      <c r="E86" s="20">
        <v>13.18</v>
      </c>
      <c r="F86" s="20">
        <v>20.37</v>
      </c>
      <c r="G86" s="20">
        <v>216.94</v>
      </c>
      <c r="H86" s="41">
        <v>95</v>
      </c>
      <c r="J86" s="28">
        <f t="shared" si="13"/>
        <v>16.84</v>
      </c>
      <c r="K86" s="28">
        <f t="shared" si="14"/>
        <v>118.62</v>
      </c>
      <c r="L86" s="28">
        <f t="shared" si="15"/>
        <v>81.48</v>
      </c>
      <c r="M86" s="28">
        <f t="shared" si="16"/>
        <v>216.94</v>
      </c>
      <c r="T86" s="28">
        <v>5</v>
      </c>
      <c r="W86" s="28">
        <v>0</v>
      </c>
    </row>
    <row r="87" spans="1:28" ht="18.75" x14ac:dyDescent="0.3">
      <c r="A87" s="5" t="s">
        <v>120</v>
      </c>
      <c r="B87" s="77">
        <v>180</v>
      </c>
      <c r="C87" s="78"/>
      <c r="D87" s="13">
        <v>3.3599999999999994</v>
      </c>
      <c r="E87" s="13">
        <v>12.72</v>
      </c>
      <c r="F87" s="13">
        <v>18.72</v>
      </c>
      <c r="G87" s="13">
        <v>202.8</v>
      </c>
      <c r="H87" s="19">
        <v>172</v>
      </c>
      <c r="J87" s="28">
        <f t="shared" si="13"/>
        <v>13.439999999999998</v>
      </c>
      <c r="K87" s="28">
        <f t="shared" si="14"/>
        <v>114.48</v>
      </c>
      <c r="L87" s="28">
        <f t="shared" si="15"/>
        <v>74.88</v>
      </c>
      <c r="M87" s="28">
        <f t="shared" si="16"/>
        <v>202.8</v>
      </c>
      <c r="T87" s="28">
        <v>5</v>
      </c>
      <c r="W87" s="28">
        <v>0</v>
      </c>
    </row>
    <row r="88" spans="1:28" ht="18.75" x14ac:dyDescent="0.3">
      <c r="A88" s="43" t="s">
        <v>19</v>
      </c>
      <c r="B88" s="79">
        <v>110</v>
      </c>
      <c r="C88" s="80"/>
      <c r="D88" s="17">
        <v>7.8090909090909086</v>
      </c>
      <c r="E88" s="17">
        <v>7.6999999999999993</v>
      </c>
      <c r="F88" s="17">
        <v>8.0909090909090917</v>
      </c>
      <c r="G88" s="17">
        <v>132.54</v>
      </c>
      <c r="H88" s="19" t="s">
        <v>90</v>
      </c>
    </row>
    <row r="89" spans="1:28" ht="18.75" x14ac:dyDescent="0.3">
      <c r="A89" s="12" t="s">
        <v>13</v>
      </c>
      <c r="B89" s="77">
        <v>200</v>
      </c>
      <c r="C89" s="78"/>
      <c r="D89" s="7">
        <v>0.3</v>
      </c>
      <c r="E89" s="7">
        <v>0.1</v>
      </c>
      <c r="F89" s="7">
        <v>23.666666666666668</v>
      </c>
      <c r="G89" s="7">
        <v>96</v>
      </c>
      <c r="H89" s="19">
        <v>349</v>
      </c>
      <c r="J89" s="28">
        <f t="shared" si="13"/>
        <v>1.2</v>
      </c>
      <c r="K89" s="28">
        <f t="shared" si="14"/>
        <v>0.9</v>
      </c>
      <c r="L89" s="28">
        <f t="shared" si="15"/>
        <v>94.666666666666671</v>
      </c>
      <c r="M89" s="28">
        <f t="shared" si="16"/>
        <v>96.766666666666666</v>
      </c>
      <c r="T89" s="28">
        <v>5</v>
      </c>
      <c r="W89" s="28">
        <v>0</v>
      </c>
    </row>
    <row r="90" spans="1:28" s="30" customFormat="1" ht="18.75" x14ac:dyDescent="0.3">
      <c r="A90" s="42" t="s">
        <v>14</v>
      </c>
      <c r="B90" s="86">
        <v>20</v>
      </c>
      <c r="C90" s="87"/>
      <c r="D90" s="7">
        <v>1</v>
      </c>
      <c r="E90" s="7">
        <v>0.2</v>
      </c>
      <c r="F90" s="7">
        <v>9.2000000000000011</v>
      </c>
      <c r="G90" s="7">
        <v>42.347999999999999</v>
      </c>
      <c r="H90" s="19">
        <v>574</v>
      </c>
      <c r="J90" s="28">
        <f t="shared" si="13"/>
        <v>4</v>
      </c>
      <c r="K90" s="28">
        <f t="shared" si="14"/>
        <v>1.8</v>
      </c>
      <c r="L90" s="28">
        <f t="shared" si="15"/>
        <v>36.800000000000004</v>
      </c>
      <c r="M90" s="28">
        <f t="shared" si="16"/>
        <v>42.6</v>
      </c>
      <c r="N90" s="28"/>
      <c r="T90" s="28">
        <v>5</v>
      </c>
      <c r="U90" s="28"/>
      <c r="W90" s="28">
        <v>0</v>
      </c>
    </row>
    <row r="91" spans="1:28" s="30" customFormat="1" ht="18.75" x14ac:dyDescent="0.3">
      <c r="A91" s="42" t="s">
        <v>15</v>
      </c>
      <c r="B91" s="86">
        <v>30</v>
      </c>
      <c r="C91" s="87"/>
      <c r="D91" s="7">
        <v>2.25</v>
      </c>
      <c r="E91" s="7">
        <v>0.22200000000000003</v>
      </c>
      <c r="F91" s="7">
        <v>14.549999999999999</v>
      </c>
      <c r="G91" s="7">
        <v>69.3</v>
      </c>
      <c r="H91" s="19">
        <v>573</v>
      </c>
      <c r="J91" s="28">
        <f t="shared" si="13"/>
        <v>9</v>
      </c>
      <c r="K91" s="28">
        <f t="shared" si="14"/>
        <v>1.9980000000000002</v>
      </c>
      <c r="L91" s="28">
        <f t="shared" si="15"/>
        <v>58.199999999999996</v>
      </c>
      <c r="M91" s="28">
        <f t="shared" si="16"/>
        <v>69.197999999999993</v>
      </c>
      <c r="N91" s="28"/>
      <c r="T91" s="28">
        <v>5</v>
      </c>
      <c r="U91" s="33"/>
      <c r="W91" s="33"/>
    </row>
    <row r="92" spans="1:28" s="30" customFormat="1" x14ac:dyDescent="0.25">
      <c r="A92" s="9" t="s">
        <v>16</v>
      </c>
      <c r="B92" s="88">
        <f>SUM(B85:C91)</f>
        <v>840</v>
      </c>
      <c r="C92" s="89"/>
      <c r="D92" s="4">
        <f>SUM(D85:D91)</f>
        <v>20.095757575757577</v>
      </c>
      <c r="E92" s="4">
        <f>SUM(E85:E91)</f>
        <v>37.822000000000003</v>
      </c>
      <c r="F92" s="4">
        <f>SUM(F85:F91)</f>
        <v>99.297575757575757</v>
      </c>
      <c r="G92" s="4">
        <f>SUM(G85:G91)</f>
        <v>816.68799999999987</v>
      </c>
      <c r="H92" s="24"/>
      <c r="J92" s="28">
        <f t="shared" si="13"/>
        <v>80.38303030303031</v>
      </c>
      <c r="K92" s="28">
        <f t="shared" si="14"/>
        <v>340.39800000000002</v>
      </c>
      <c r="L92" s="28">
        <f t="shared" si="15"/>
        <v>397.19030303030303</v>
      </c>
      <c r="M92" s="28">
        <f t="shared" si="16"/>
        <v>817.9713333333334</v>
      </c>
      <c r="N92" s="33">
        <f>2350/100*30</f>
        <v>705</v>
      </c>
      <c r="T92" s="28">
        <v>5</v>
      </c>
      <c r="U92" s="33">
        <v>816</v>
      </c>
      <c r="V92" s="30">
        <v>775.2</v>
      </c>
      <c r="W92" s="30">
        <v>856.8</v>
      </c>
      <c r="X92" s="72">
        <f>G92-W92</f>
        <v>-40.11200000000008</v>
      </c>
    </row>
    <row r="93" spans="1:28" x14ac:dyDescent="0.25">
      <c r="A93" s="32" t="s">
        <v>17</v>
      </c>
      <c r="B93" s="129"/>
      <c r="C93" s="130"/>
      <c r="D93" s="4">
        <f>D83+D92</f>
        <v>29.735757575757578</v>
      </c>
      <c r="E93" s="4">
        <f>E83+E92</f>
        <v>47.867000000000004</v>
      </c>
      <c r="F93" s="4">
        <f>F83+F92</f>
        <v>197.48757575757577</v>
      </c>
      <c r="G93" s="4">
        <f>G83+G92</f>
        <v>1334.3979999999997</v>
      </c>
      <c r="H93" s="8"/>
      <c r="J93" s="28">
        <f t="shared" si="13"/>
        <v>118.94303030303031</v>
      </c>
      <c r="K93" s="28">
        <f t="shared" si="14"/>
        <v>430.80300000000005</v>
      </c>
      <c r="L93" s="28">
        <f t="shared" si="15"/>
        <v>789.95030303030308</v>
      </c>
      <c r="M93" s="28">
        <f t="shared" si="16"/>
        <v>1339.6963333333333</v>
      </c>
      <c r="N93" s="33">
        <f>2350/100*50</f>
        <v>1175</v>
      </c>
      <c r="T93" s="28">
        <v>5</v>
      </c>
      <c r="U93" s="28">
        <v>1360</v>
      </c>
      <c r="V93" s="28">
        <v>68</v>
      </c>
      <c r="W93" s="28">
        <v>1292</v>
      </c>
    </row>
    <row r="94" spans="1:28" ht="18.75" x14ac:dyDescent="0.25">
      <c r="A94" s="81" t="s">
        <v>38</v>
      </c>
      <c r="B94" s="82"/>
      <c r="C94" s="82"/>
      <c r="D94" s="82"/>
      <c r="E94" s="82"/>
      <c r="F94" s="82"/>
      <c r="G94" s="83"/>
      <c r="H94" s="65"/>
      <c r="J94" s="28">
        <f t="shared" si="13"/>
        <v>0</v>
      </c>
      <c r="K94" s="28">
        <f t="shared" si="14"/>
        <v>0</v>
      </c>
      <c r="L94" s="28">
        <f t="shared" si="15"/>
        <v>0</v>
      </c>
      <c r="M94" s="28">
        <f t="shared" si="16"/>
        <v>0</v>
      </c>
    </row>
    <row r="95" spans="1:28" ht="18.75" x14ac:dyDescent="0.25">
      <c r="A95" s="81" t="s">
        <v>34</v>
      </c>
      <c r="B95" s="82"/>
      <c r="C95" s="83"/>
      <c r="D95" s="4"/>
      <c r="E95" s="4"/>
      <c r="F95" s="4"/>
      <c r="G95" s="4"/>
      <c r="H95" s="65"/>
      <c r="J95" s="28">
        <f t="shared" si="13"/>
        <v>0</v>
      </c>
      <c r="K95" s="28">
        <f t="shared" si="14"/>
        <v>0</v>
      </c>
      <c r="L95" s="28">
        <f t="shared" si="15"/>
        <v>0</v>
      </c>
      <c r="M95" s="28">
        <f t="shared" si="16"/>
        <v>0</v>
      </c>
    </row>
    <row r="96" spans="1:28" ht="18.75" x14ac:dyDescent="0.3">
      <c r="A96" s="5" t="s">
        <v>112</v>
      </c>
      <c r="B96" s="77">
        <v>150</v>
      </c>
      <c r="C96" s="78"/>
      <c r="D96" s="15">
        <v>10.3</v>
      </c>
      <c r="E96" s="15">
        <v>10.1</v>
      </c>
      <c r="F96" s="15">
        <v>4.2</v>
      </c>
      <c r="G96" s="15">
        <v>149.30000000000001</v>
      </c>
      <c r="H96" s="19">
        <v>212</v>
      </c>
      <c r="J96" s="28">
        <f t="shared" si="13"/>
        <v>41.2</v>
      </c>
      <c r="K96" s="28">
        <f t="shared" si="14"/>
        <v>90.899999999999991</v>
      </c>
      <c r="L96" s="28">
        <f t="shared" si="15"/>
        <v>16.8</v>
      </c>
      <c r="M96" s="28">
        <f t="shared" si="16"/>
        <v>148.9</v>
      </c>
      <c r="T96" s="28">
        <v>6</v>
      </c>
    </row>
    <row r="97" spans="1:28" ht="18.75" x14ac:dyDescent="0.3">
      <c r="A97" s="5" t="s">
        <v>111</v>
      </c>
      <c r="B97" s="77">
        <v>50</v>
      </c>
      <c r="C97" s="78"/>
      <c r="D97" s="15">
        <v>5</v>
      </c>
      <c r="E97" s="15">
        <v>9.5</v>
      </c>
      <c r="F97" s="15">
        <v>0</v>
      </c>
      <c r="G97" s="15">
        <v>105.5</v>
      </c>
      <c r="H97" s="19">
        <v>243</v>
      </c>
    </row>
    <row r="98" spans="1:28" ht="18.75" x14ac:dyDescent="0.3">
      <c r="A98" s="54" t="s">
        <v>78</v>
      </c>
      <c r="B98" s="86">
        <v>20</v>
      </c>
      <c r="C98" s="87"/>
      <c r="D98" s="7">
        <v>0.96799999999999997</v>
      </c>
      <c r="E98" s="7">
        <v>1.004</v>
      </c>
      <c r="F98" s="7">
        <v>6.4119999999999999</v>
      </c>
      <c r="G98" s="7">
        <v>38.56</v>
      </c>
      <c r="H98" s="19">
        <v>576</v>
      </c>
      <c r="J98" s="28">
        <f t="shared" si="13"/>
        <v>3.8719999999999999</v>
      </c>
      <c r="K98" s="28">
        <f t="shared" si="14"/>
        <v>9.0359999999999996</v>
      </c>
      <c r="L98" s="28">
        <f t="shared" si="15"/>
        <v>25.648</v>
      </c>
      <c r="M98" s="28">
        <f t="shared" ref="M98:M101" si="17">SUM(J98:L98)</f>
        <v>38.555999999999997</v>
      </c>
      <c r="T98" s="28">
        <v>6</v>
      </c>
    </row>
    <row r="99" spans="1:28" ht="18.75" x14ac:dyDescent="0.3">
      <c r="A99" s="42" t="s">
        <v>83</v>
      </c>
      <c r="B99" s="86">
        <v>100</v>
      </c>
      <c r="C99" s="87"/>
      <c r="D99" s="7">
        <f>0.9/100*150</f>
        <v>1.35</v>
      </c>
      <c r="E99" s="7">
        <f>0.23/100*150</f>
        <v>0.34499999999999997</v>
      </c>
      <c r="F99" s="7">
        <f>11.8/100*150-1.75</f>
        <v>15.950000000000003</v>
      </c>
      <c r="G99" s="7">
        <v>72.3</v>
      </c>
      <c r="H99" s="19" t="s">
        <v>58</v>
      </c>
      <c r="J99" s="28">
        <f t="shared" si="13"/>
        <v>5.4</v>
      </c>
      <c r="K99" s="28">
        <f t="shared" si="14"/>
        <v>3.1049999999999995</v>
      </c>
      <c r="L99" s="28">
        <f t="shared" si="15"/>
        <v>63.800000000000011</v>
      </c>
      <c r="M99" s="28">
        <f t="shared" si="17"/>
        <v>72.305000000000007</v>
      </c>
      <c r="T99" s="28">
        <v>6</v>
      </c>
    </row>
    <row r="100" spans="1:28" ht="18.75" x14ac:dyDescent="0.3">
      <c r="A100" s="42" t="s">
        <v>95</v>
      </c>
      <c r="B100" s="86">
        <v>30</v>
      </c>
      <c r="C100" s="87"/>
      <c r="D100" s="7">
        <f>5.5/100*30</f>
        <v>1.65</v>
      </c>
      <c r="E100" s="7">
        <f>6.5/100*30</f>
        <v>1.9500000000000002</v>
      </c>
      <c r="F100" s="7">
        <f>34.9/100*30</f>
        <v>10.469999999999999</v>
      </c>
      <c r="G100" s="7">
        <f>210.9/100*30</f>
        <v>63.269999999999996</v>
      </c>
      <c r="H100" s="19" t="s">
        <v>8</v>
      </c>
    </row>
    <row r="101" spans="1:28" ht="18.75" x14ac:dyDescent="0.3">
      <c r="A101" s="42" t="s">
        <v>9</v>
      </c>
      <c r="B101" s="77">
        <v>200</v>
      </c>
      <c r="C101" s="78"/>
      <c r="D101" s="7">
        <v>0.17</v>
      </c>
      <c r="E101" s="7">
        <v>0.04</v>
      </c>
      <c r="F101" s="7">
        <v>10.5</v>
      </c>
      <c r="G101" s="7">
        <v>43.04</v>
      </c>
      <c r="H101" s="19">
        <v>376</v>
      </c>
      <c r="J101" s="28">
        <f t="shared" si="13"/>
        <v>0.68</v>
      </c>
      <c r="K101" s="28">
        <f t="shared" si="14"/>
        <v>0.36</v>
      </c>
      <c r="L101" s="28">
        <f t="shared" si="15"/>
        <v>42</v>
      </c>
      <c r="M101" s="28">
        <f t="shared" si="17"/>
        <v>43.04</v>
      </c>
      <c r="T101" s="28">
        <v>6</v>
      </c>
    </row>
    <row r="102" spans="1:28" s="30" customFormat="1" x14ac:dyDescent="0.25">
      <c r="A102" s="9" t="s">
        <v>10</v>
      </c>
      <c r="B102" s="88">
        <f>200+50+300</f>
        <v>550</v>
      </c>
      <c r="C102" s="89"/>
      <c r="D102" s="4">
        <f>SUM(D96:D101)</f>
        <v>19.438000000000002</v>
      </c>
      <c r="E102" s="4">
        <f t="shared" ref="E102:G102" si="18">SUM(E96:E101)</f>
        <v>22.939</v>
      </c>
      <c r="F102" s="4">
        <f t="shared" si="18"/>
        <v>47.532000000000004</v>
      </c>
      <c r="G102" s="4">
        <f t="shared" si="18"/>
        <v>471.97</v>
      </c>
      <c r="H102" s="24"/>
      <c r="J102" s="28">
        <f t="shared" si="13"/>
        <v>77.75200000000001</v>
      </c>
      <c r="K102" s="28">
        <f t="shared" si="14"/>
        <v>206.45099999999999</v>
      </c>
      <c r="L102" s="28">
        <f t="shared" si="15"/>
        <v>190.12800000000001</v>
      </c>
      <c r="M102" s="28">
        <f t="shared" si="16"/>
        <v>474.33100000000002</v>
      </c>
      <c r="N102" s="33">
        <f>2350/100*20</f>
        <v>470</v>
      </c>
      <c r="T102" s="28">
        <v>6</v>
      </c>
      <c r="U102" s="33">
        <v>544</v>
      </c>
      <c r="V102" s="30">
        <v>516.79999999999995</v>
      </c>
      <c r="W102" s="30">
        <v>571.20000000000005</v>
      </c>
    </row>
    <row r="103" spans="1:28" s="30" customFormat="1" ht="18.75" x14ac:dyDescent="0.25">
      <c r="A103" s="81" t="s">
        <v>32</v>
      </c>
      <c r="B103" s="82"/>
      <c r="C103" s="83"/>
      <c r="D103" s="4"/>
      <c r="E103" s="4"/>
      <c r="F103" s="4"/>
      <c r="G103" s="4"/>
      <c r="H103" s="44"/>
      <c r="J103" s="28">
        <f t="shared" si="13"/>
        <v>0</v>
      </c>
      <c r="K103" s="28">
        <f t="shared" si="14"/>
        <v>0</v>
      </c>
      <c r="L103" s="28">
        <f t="shared" si="15"/>
        <v>0</v>
      </c>
      <c r="M103" s="28">
        <f t="shared" si="16"/>
        <v>0</v>
      </c>
      <c r="T103" s="28">
        <v>6</v>
      </c>
      <c r="U103" s="28"/>
      <c r="W103" s="30">
        <v>0</v>
      </c>
    </row>
    <row r="104" spans="1:28" s="30" customFormat="1" ht="18.75" x14ac:dyDescent="0.25">
      <c r="A104" s="61" t="s">
        <v>115</v>
      </c>
      <c r="B104" s="138">
        <v>100</v>
      </c>
      <c r="C104" s="139"/>
      <c r="D104" s="38">
        <v>0</v>
      </c>
      <c r="E104" s="38">
        <v>0</v>
      </c>
      <c r="F104" s="38">
        <v>1.7</v>
      </c>
      <c r="G104" s="38">
        <v>6.8</v>
      </c>
      <c r="H104" s="44">
        <v>149</v>
      </c>
      <c r="J104" s="28"/>
      <c r="K104" s="28"/>
      <c r="L104" s="28"/>
      <c r="M104" s="28"/>
      <c r="T104" s="28"/>
      <c r="U104" s="28"/>
      <c r="W104" s="30">
        <v>0</v>
      </c>
      <c r="X104" s="30" t="s">
        <v>100</v>
      </c>
      <c r="Y104" s="28">
        <f>D104*4</f>
        <v>0</v>
      </c>
      <c r="Z104" s="28">
        <f>E104*9</f>
        <v>0</v>
      </c>
      <c r="AA104" s="28">
        <f>F104*4</f>
        <v>6.8</v>
      </c>
      <c r="AB104" s="28">
        <f>SUBTOTAL(9,Y104:AA104)</f>
        <v>6.8</v>
      </c>
    </row>
    <row r="105" spans="1:28" ht="37.5" x14ac:dyDescent="0.3">
      <c r="A105" s="18" t="s">
        <v>113</v>
      </c>
      <c r="B105" s="75">
        <v>250</v>
      </c>
      <c r="C105" s="76"/>
      <c r="D105" s="15">
        <v>0.84</v>
      </c>
      <c r="E105" s="15">
        <v>9.09</v>
      </c>
      <c r="F105" s="15">
        <v>34.369999999999997</v>
      </c>
      <c r="G105" s="15">
        <v>222.63</v>
      </c>
      <c r="H105" s="19">
        <v>88</v>
      </c>
      <c r="J105" s="28">
        <f t="shared" si="13"/>
        <v>3.36</v>
      </c>
      <c r="K105" s="28">
        <f t="shared" si="14"/>
        <v>81.81</v>
      </c>
      <c r="L105" s="28">
        <f t="shared" si="15"/>
        <v>137.47999999999999</v>
      </c>
      <c r="M105" s="28">
        <f t="shared" si="16"/>
        <v>222.64999999999998</v>
      </c>
      <c r="T105" s="28">
        <v>6</v>
      </c>
      <c r="W105" s="28">
        <v>0</v>
      </c>
    </row>
    <row r="106" spans="1:28" ht="18.75" x14ac:dyDescent="0.3">
      <c r="A106" s="43" t="s">
        <v>114</v>
      </c>
      <c r="B106" s="94">
        <v>200</v>
      </c>
      <c r="C106" s="95"/>
      <c r="D106" s="7">
        <v>24.4</v>
      </c>
      <c r="E106" s="7">
        <v>10.7</v>
      </c>
      <c r="F106" s="7">
        <v>45.3</v>
      </c>
      <c r="G106" s="7">
        <v>374.9</v>
      </c>
      <c r="H106" s="19">
        <v>392</v>
      </c>
      <c r="J106" s="28">
        <f t="shared" si="13"/>
        <v>97.6</v>
      </c>
      <c r="K106" s="28">
        <f t="shared" si="14"/>
        <v>96.3</v>
      </c>
      <c r="L106" s="28">
        <f t="shared" si="15"/>
        <v>181.2</v>
      </c>
      <c r="M106" s="28">
        <f t="shared" si="16"/>
        <v>375.09999999999997</v>
      </c>
      <c r="T106" s="28">
        <v>6</v>
      </c>
      <c r="W106" s="28">
        <v>0</v>
      </c>
    </row>
    <row r="107" spans="1:28" ht="18.75" x14ac:dyDescent="0.3">
      <c r="A107" s="12" t="s">
        <v>25</v>
      </c>
      <c r="B107" s="77">
        <v>200</v>
      </c>
      <c r="C107" s="78"/>
      <c r="D107" s="13">
        <v>0.17</v>
      </c>
      <c r="E107" s="13">
        <v>0.04</v>
      </c>
      <c r="F107" s="7">
        <v>24.1</v>
      </c>
      <c r="G107" s="7">
        <f>93.5+5</f>
        <v>98.5</v>
      </c>
      <c r="H107" s="19">
        <v>491</v>
      </c>
      <c r="J107" s="28">
        <f t="shared" si="13"/>
        <v>0.68</v>
      </c>
      <c r="K107" s="28">
        <f t="shared" si="14"/>
        <v>0.36</v>
      </c>
      <c r="L107" s="28">
        <f t="shared" si="15"/>
        <v>96.4</v>
      </c>
      <c r="M107" s="28">
        <f t="shared" si="16"/>
        <v>97.440000000000012</v>
      </c>
      <c r="T107" s="28">
        <v>6</v>
      </c>
      <c r="W107" s="28">
        <v>0</v>
      </c>
    </row>
    <row r="108" spans="1:28" s="30" customFormat="1" ht="18.75" x14ac:dyDescent="0.3">
      <c r="A108" s="42" t="s">
        <v>14</v>
      </c>
      <c r="B108" s="86">
        <v>30</v>
      </c>
      <c r="C108" s="87"/>
      <c r="D108" s="7">
        <v>1.5</v>
      </c>
      <c r="E108" s="7">
        <v>0.3</v>
      </c>
      <c r="F108" s="7">
        <v>13.800000000000002</v>
      </c>
      <c r="G108" s="7">
        <v>63.521999999999998</v>
      </c>
      <c r="H108" s="19">
        <v>574</v>
      </c>
      <c r="J108" s="28">
        <f t="shared" si="13"/>
        <v>6</v>
      </c>
      <c r="K108" s="28">
        <f t="shared" si="14"/>
        <v>2.6999999999999997</v>
      </c>
      <c r="L108" s="28">
        <f t="shared" si="15"/>
        <v>55.20000000000001</v>
      </c>
      <c r="M108" s="28">
        <f t="shared" si="16"/>
        <v>63.900000000000006</v>
      </c>
      <c r="T108" s="28">
        <v>6</v>
      </c>
      <c r="U108" s="28"/>
      <c r="W108" s="30">
        <v>0</v>
      </c>
    </row>
    <row r="109" spans="1:28" s="30" customFormat="1" ht="18.75" x14ac:dyDescent="0.3">
      <c r="A109" s="42" t="s">
        <v>15</v>
      </c>
      <c r="B109" s="86">
        <v>30</v>
      </c>
      <c r="C109" s="87"/>
      <c r="D109" s="7">
        <v>2.25</v>
      </c>
      <c r="E109" s="7">
        <v>0.22200000000000003</v>
      </c>
      <c r="F109" s="7">
        <v>14.549999999999999</v>
      </c>
      <c r="G109" s="7">
        <v>69.3</v>
      </c>
      <c r="H109" s="19">
        <v>573</v>
      </c>
      <c r="J109" s="28">
        <f t="shared" si="13"/>
        <v>9</v>
      </c>
      <c r="K109" s="28">
        <f t="shared" si="14"/>
        <v>1.9980000000000002</v>
      </c>
      <c r="L109" s="28">
        <f t="shared" si="15"/>
        <v>58.199999999999996</v>
      </c>
      <c r="M109" s="28">
        <f t="shared" si="16"/>
        <v>69.197999999999993</v>
      </c>
      <c r="T109" s="28">
        <v>6</v>
      </c>
      <c r="U109" s="28"/>
      <c r="W109" s="30">
        <v>0</v>
      </c>
    </row>
    <row r="110" spans="1:28" s="30" customFormat="1" x14ac:dyDescent="0.25">
      <c r="A110" s="9" t="s">
        <v>16</v>
      </c>
      <c r="B110" s="88">
        <f>SUM(B104:C109)</f>
        <v>810</v>
      </c>
      <c r="C110" s="89"/>
      <c r="D110" s="4">
        <f>SUM(D104:D109)</f>
        <v>29.16</v>
      </c>
      <c r="E110" s="4">
        <f t="shared" ref="E110:G110" si="19">SUM(E104:E109)</f>
        <v>20.352</v>
      </c>
      <c r="F110" s="4">
        <f t="shared" si="19"/>
        <v>133.82</v>
      </c>
      <c r="G110" s="4">
        <f t="shared" si="19"/>
        <v>835.65199999999993</v>
      </c>
      <c r="H110" s="24"/>
      <c r="J110" s="28">
        <f t="shared" si="13"/>
        <v>116.64</v>
      </c>
      <c r="K110" s="28">
        <f t="shared" si="14"/>
        <v>183.16800000000001</v>
      </c>
      <c r="L110" s="28">
        <f t="shared" si="15"/>
        <v>535.28</v>
      </c>
      <c r="M110" s="28">
        <f t="shared" si="16"/>
        <v>835.08799999999997</v>
      </c>
      <c r="N110" s="33">
        <f>2350/100*30</f>
        <v>705</v>
      </c>
      <c r="T110" s="28">
        <v>6</v>
      </c>
      <c r="U110" s="33">
        <v>816</v>
      </c>
      <c r="V110" s="30">
        <v>775.2</v>
      </c>
      <c r="W110" s="30">
        <v>856.8</v>
      </c>
    </row>
    <row r="111" spans="1:28" x14ac:dyDescent="0.25">
      <c r="A111" s="32" t="s">
        <v>17</v>
      </c>
      <c r="B111" s="129"/>
      <c r="C111" s="130"/>
      <c r="D111" s="4">
        <f>D102+D110</f>
        <v>48.597999999999999</v>
      </c>
      <c r="E111" s="4">
        <f>E102+E110</f>
        <v>43.290999999999997</v>
      </c>
      <c r="F111" s="4">
        <f>F102+F110</f>
        <v>181.352</v>
      </c>
      <c r="G111" s="4">
        <f>G102+G110</f>
        <v>1307.6219999999998</v>
      </c>
      <c r="H111" s="8"/>
      <c r="J111" s="28">
        <f t="shared" si="13"/>
        <v>194.392</v>
      </c>
      <c r="K111" s="28">
        <f t="shared" si="14"/>
        <v>389.61899999999997</v>
      </c>
      <c r="L111" s="28">
        <f t="shared" si="15"/>
        <v>725.40800000000002</v>
      </c>
      <c r="M111" s="28">
        <f t="shared" si="16"/>
        <v>1309.4189999999999</v>
      </c>
      <c r="N111" s="33">
        <f>2350/100*50</f>
        <v>1175</v>
      </c>
      <c r="T111" s="28">
        <v>6</v>
      </c>
      <c r="U111" s="33">
        <f>2720/100*50</f>
        <v>1360</v>
      </c>
      <c r="W111" s="28">
        <v>1292</v>
      </c>
    </row>
    <row r="112" spans="1:28" ht="18.75" x14ac:dyDescent="0.25">
      <c r="A112" s="81" t="s">
        <v>39</v>
      </c>
      <c r="B112" s="82"/>
      <c r="C112" s="82"/>
      <c r="D112" s="82"/>
      <c r="E112" s="82"/>
      <c r="F112" s="82"/>
      <c r="G112" s="82"/>
      <c r="H112" s="83"/>
      <c r="J112" s="28">
        <f t="shared" si="13"/>
        <v>0</v>
      </c>
      <c r="K112" s="28">
        <f t="shared" si="14"/>
        <v>0</v>
      </c>
      <c r="L112" s="28">
        <f t="shared" si="15"/>
        <v>0</v>
      </c>
      <c r="M112" s="28">
        <f t="shared" si="16"/>
        <v>0</v>
      </c>
    </row>
    <row r="113" spans="1:28" ht="18.75" x14ac:dyDescent="0.25">
      <c r="A113" s="81" t="s">
        <v>34</v>
      </c>
      <c r="B113" s="82"/>
      <c r="C113" s="83"/>
      <c r="D113" s="4"/>
      <c r="E113" s="4"/>
      <c r="F113" s="4"/>
      <c r="G113" s="4"/>
      <c r="H113" s="65"/>
      <c r="J113" s="28">
        <f t="shared" si="13"/>
        <v>0</v>
      </c>
      <c r="K113" s="28">
        <f t="shared" si="14"/>
        <v>0</v>
      </c>
      <c r="L113" s="28">
        <f t="shared" si="15"/>
        <v>0</v>
      </c>
      <c r="M113" s="28">
        <f t="shared" si="16"/>
        <v>0</v>
      </c>
    </row>
    <row r="114" spans="1:28" ht="18.75" x14ac:dyDescent="0.25">
      <c r="A114" s="52" t="s">
        <v>105</v>
      </c>
      <c r="B114" s="77">
        <v>220</v>
      </c>
      <c r="C114" s="78"/>
      <c r="D114" s="17">
        <v>14.652000000000001</v>
      </c>
      <c r="E114" s="17">
        <v>15.180000000000001</v>
      </c>
      <c r="F114" s="17">
        <v>50.160000000000004</v>
      </c>
      <c r="G114" s="17">
        <v>395.86799999999999</v>
      </c>
      <c r="H114" s="41">
        <v>219</v>
      </c>
      <c r="J114" s="28">
        <f t="shared" si="13"/>
        <v>58.608000000000004</v>
      </c>
      <c r="K114" s="28">
        <f t="shared" si="14"/>
        <v>136.62</v>
      </c>
      <c r="L114" s="28">
        <f t="shared" si="15"/>
        <v>200.64000000000001</v>
      </c>
      <c r="M114" s="28">
        <f t="shared" si="16"/>
        <v>395.86800000000005</v>
      </c>
      <c r="T114" s="28">
        <v>7</v>
      </c>
    </row>
    <row r="115" spans="1:28" ht="18.75" x14ac:dyDescent="0.3">
      <c r="A115" s="42" t="s">
        <v>83</v>
      </c>
      <c r="B115" s="86">
        <v>100</v>
      </c>
      <c r="C115" s="87"/>
      <c r="D115" s="7">
        <f>0.9/100*150</f>
        <v>1.35</v>
      </c>
      <c r="E115" s="7">
        <f>0.23/100*150</f>
        <v>0.34499999999999997</v>
      </c>
      <c r="F115" s="7">
        <f>11.8/100*150-1.75</f>
        <v>15.950000000000003</v>
      </c>
      <c r="G115" s="7">
        <v>72.3</v>
      </c>
      <c r="H115" s="19" t="s">
        <v>58</v>
      </c>
      <c r="J115" s="28">
        <f t="shared" si="13"/>
        <v>5.4</v>
      </c>
      <c r="K115" s="28">
        <f t="shared" si="14"/>
        <v>3.1049999999999995</v>
      </c>
      <c r="L115" s="28">
        <f t="shared" si="15"/>
        <v>63.800000000000011</v>
      </c>
      <c r="M115" s="28">
        <f t="shared" si="16"/>
        <v>72.305000000000007</v>
      </c>
      <c r="T115" s="28">
        <v>7</v>
      </c>
    </row>
    <row r="116" spans="1:28" ht="18.75" x14ac:dyDescent="0.3">
      <c r="A116" s="42" t="s">
        <v>95</v>
      </c>
      <c r="B116" s="86">
        <v>30</v>
      </c>
      <c r="C116" s="87"/>
      <c r="D116" s="7">
        <f>5.5/100*30</f>
        <v>1.65</v>
      </c>
      <c r="E116" s="7">
        <f>6.5/100*30</f>
        <v>1.9500000000000002</v>
      </c>
      <c r="F116" s="7">
        <f>34.9/100*30</f>
        <v>10.469999999999999</v>
      </c>
      <c r="G116" s="7">
        <f>210.9/100*30</f>
        <v>63.269999999999996</v>
      </c>
      <c r="H116" s="19" t="s">
        <v>8</v>
      </c>
    </row>
    <row r="117" spans="1:28" ht="18.75" x14ac:dyDescent="0.3">
      <c r="A117" s="16" t="s">
        <v>18</v>
      </c>
      <c r="B117" s="86">
        <v>200</v>
      </c>
      <c r="C117" s="87"/>
      <c r="D117" s="7">
        <v>0.26</v>
      </c>
      <c r="E117" s="7">
        <v>0.05</v>
      </c>
      <c r="F117" s="7">
        <v>12.26</v>
      </c>
      <c r="G117" s="7">
        <v>49.72</v>
      </c>
      <c r="H117" s="19">
        <v>377</v>
      </c>
      <c r="J117" s="28">
        <f t="shared" si="13"/>
        <v>1.04</v>
      </c>
      <c r="K117" s="28">
        <f t="shared" si="14"/>
        <v>0.45</v>
      </c>
      <c r="L117" s="28">
        <f t="shared" si="15"/>
        <v>49.04</v>
      </c>
      <c r="M117" s="28">
        <f t="shared" si="16"/>
        <v>50.53</v>
      </c>
      <c r="T117" s="28">
        <v>7</v>
      </c>
    </row>
    <row r="118" spans="1:28" x14ac:dyDescent="0.25">
      <c r="A118" s="9" t="s">
        <v>10</v>
      </c>
      <c r="B118" s="88">
        <f>SUM(B114:C117)</f>
        <v>550</v>
      </c>
      <c r="C118" s="89"/>
      <c r="D118" s="4">
        <f>SUM(D114:D117)</f>
        <v>17.912000000000003</v>
      </c>
      <c r="E118" s="4">
        <f>SUM(E114:E117)</f>
        <v>17.525000000000002</v>
      </c>
      <c r="F118" s="4">
        <f>SUM(F114:F117)</f>
        <v>88.840000000000018</v>
      </c>
      <c r="G118" s="4">
        <f>SUM(G114:G117)</f>
        <v>581.15800000000002</v>
      </c>
      <c r="H118" s="24"/>
      <c r="J118" s="28">
        <f t="shared" si="13"/>
        <v>71.64800000000001</v>
      </c>
      <c r="K118" s="28">
        <f t="shared" si="14"/>
        <v>157.72500000000002</v>
      </c>
      <c r="L118" s="28">
        <f t="shared" si="15"/>
        <v>355.36000000000007</v>
      </c>
      <c r="M118" s="28">
        <f t="shared" si="16"/>
        <v>584.73300000000017</v>
      </c>
      <c r="N118" s="33">
        <f>2350/100*20</f>
        <v>470</v>
      </c>
      <c r="O118" s="28">
        <f>N118/100*5</f>
        <v>23.5</v>
      </c>
      <c r="P118" s="28">
        <f>N118+O118</f>
        <v>493.5</v>
      </c>
      <c r="T118" s="28">
        <v>7</v>
      </c>
      <c r="U118" s="33">
        <v>544</v>
      </c>
      <c r="V118" s="28">
        <v>516.79999999999995</v>
      </c>
      <c r="W118" s="28">
        <v>571.20000000000005</v>
      </c>
    </row>
    <row r="119" spans="1:28" ht="18.75" x14ac:dyDescent="0.25">
      <c r="A119" s="81" t="s">
        <v>32</v>
      </c>
      <c r="B119" s="82"/>
      <c r="C119" s="83"/>
      <c r="D119" s="4"/>
      <c r="E119" s="4"/>
      <c r="F119" s="4"/>
      <c r="G119" s="4"/>
      <c r="H119" s="65"/>
      <c r="J119" s="28">
        <f t="shared" si="13"/>
        <v>0</v>
      </c>
      <c r="K119" s="28">
        <f t="shared" si="14"/>
        <v>0</v>
      </c>
      <c r="L119" s="28">
        <f t="shared" si="15"/>
        <v>0</v>
      </c>
      <c r="M119" s="28">
        <f t="shared" si="16"/>
        <v>0</v>
      </c>
      <c r="N119" s="30"/>
      <c r="T119" s="28">
        <v>7</v>
      </c>
      <c r="W119" s="28">
        <v>0</v>
      </c>
    </row>
    <row r="120" spans="1:28" ht="18.75" x14ac:dyDescent="0.25">
      <c r="A120" s="61" t="s">
        <v>116</v>
      </c>
      <c r="B120" s="142">
        <v>100</v>
      </c>
      <c r="C120" s="142"/>
      <c r="D120" s="17">
        <v>0</v>
      </c>
      <c r="E120" s="17">
        <v>0</v>
      </c>
      <c r="F120" s="17">
        <v>3.9</v>
      </c>
      <c r="G120" s="17">
        <v>16</v>
      </c>
      <c r="H120" s="44">
        <v>149</v>
      </c>
      <c r="N120" s="30"/>
      <c r="W120" s="28">
        <v>0</v>
      </c>
      <c r="X120" s="28" t="s">
        <v>100</v>
      </c>
      <c r="Y120" s="28">
        <f>D120*4</f>
        <v>0</v>
      </c>
      <c r="Z120" s="28">
        <f>E120*9</f>
        <v>0</v>
      </c>
      <c r="AA120" s="28">
        <f>F120*4</f>
        <v>15.6</v>
      </c>
      <c r="AB120" s="28">
        <f>SUBTOTAL(9,Y120:AA120)</f>
        <v>15.6</v>
      </c>
    </row>
    <row r="121" spans="1:28" ht="18.75" x14ac:dyDescent="0.25">
      <c r="A121" s="18" t="s">
        <v>48</v>
      </c>
      <c r="B121" s="124">
        <v>250</v>
      </c>
      <c r="C121" s="125"/>
      <c r="D121" s="20">
        <v>6.25</v>
      </c>
      <c r="E121" s="20">
        <v>9.5875000000000004</v>
      </c>
      <c r="F121" s="20">
        <v>33.362500000000004</v>
      </c>
      <c r="G121" s="20">
        <v>244.73749999999998</v>
      </c>
      <c r="H121" s="41">
        <v>112</v>
      </c>
      <c r="J121" s="28">
        <f t="shared" si="13"/>
        <v>25</v>
      </c>
      <c r="K121" s="28">
        <f t="shared" si="14"/>
        <v>86.287500000000009</v>
      </c>
      <c r="L121" s="28">
        <f t="shared" si="15"/>
        <v>133.45000000000002</v>
      </c>
      <c r="M121" s="28">
        <f t="shared" si="16"/>
        <v>244.73750000000001</v>
      </c>
      <c r="T121" s="28">
        <v>7</v>
      </c>
      <c r="W121" s="28">
        <v>0</v>
      </c>
    </row>
    <row r="122" spans="1:28" ht="18.75" x14ac:dyDescent="0.3">
      <c r="A122" s="5" t="s">
        <v>85</v>
      </c>
      <c r="B122" s="77">
        <v>220</v>
      </c>
      <c r="C122" s="78"/>
      <c r="D122" s="13">
        <v>6.9</v>
      </c>
      <c r="E122" s="13">
        <v>14.1</v>
      </c>
      <c r="F122" s="13">
        <v>17.899999999999999</v>
      </c>
      <c r="G122" s="13">
        <v>226.3</v>
      </c>
      <c r="H122" s="19">
        <v>259</v>
      </c>
    </row>
    <row r="123" spans="1:28" ht="18.75" x14ac:dyDescent="0.3">
      <c r="A123" s="12" t="s">
        <v>13</v>
      </c>
      <c r="B123" s="77">
        <v>200</v>
      </c>
      <c r="C123" s="78"/>
      <c r="D123" s="7">
        <v>0.3</v>
      </c>
      <c r="E123" s="7">
        <v>0.1</v>
      </c>
      <c r="F123" s="7">
        <v>23.666666666666668</v>
      </c>
      <c r="G123" s="7">
        <v>96</v>
      </c>
      <c r="H123" s="19">
        <v>349</v>
      </c>
      <c r="J123" s="28">
        <f t="shared" si="13"/>
        <v>1.2</v>
      </c>
      <c r="K123" s="28">
        <f t="shared" si="14"/>
        <v>0.9</v>
      </c>
      <c r="L123" s="28">
        <f t="shared" si="15"/>
        <v>94.666666666666671</v>
      </c>
      <c r="M123" s="28">
        <f t="shared" si="16"/>
        <v>96.766666666666666</v>
      </c>
      <c r="N123" s="30"/>
      <c r="T123" s="28">
        <v>7</v>
      </c>
      <c r="W123" s="28">
        <v>0</v>
      </c>
    </row>
    <row r="124" spans="1:28" ht="18.75" x14ac:dyDescent="0.3">
      <c r="A124" s="42" t="s">
        <v>14</v>
      </c>
      <c r="B124" s="86">
        <v>20</v>
      </c>
      <c r="C124" s="87"/>
      <c r="D124" s="7">
        <v>1</v>
      </c>
      <c r="E124" s="7">
        <v>0.2</v>
      </c>
      <c r="F124" s="7">
        <v>9.2000000000000011</v>
      </c>
      <c r="G124" s="7">
        <v>42.347999999999999</v>
      </c>
      <c r="H124" s="19">
        <v>574</v>
      </c>
      <c r="J124" s="28">
        <f t="shared" si="13"/>
        <v>4</v>
      </c>
      <c r="K124" s="28">
        <f t="shared" si="14"/>
        <v>1.8</v>
      </c>
      <c r="L124" s="28">
        <f t="shared" si="15"/>
        <v>36.800000000000004</v>
      </c>
      <c r="M124" s="28">
        <f t="shared" si="16"/>
        <v>42.6</v>
      </c>
      <c r="N124" s="30"/>
      <c r="T124" s="28">
        <v>7</v>
      </c>
      <c r="W124" s="28">
        <v>0</v>
      </c>
    </row>
    <row r="125" spans="1:28" ht="18.75" x14ac:dyDescent="0.3">
      <c r="A125" s="42" t="s">
        <v>15</v>
      </c>
      <c r="B125" s="86">
        <v>30</v>
      </c>
      <c r="C125" s="87"/>
      <c r="D125" s="7">
        <v>2.25</v>
      </c>
      <c r="E125" s="7">
        <v>0.22200000000000003</v>
      </c>
      <c r="F125" s="7">
        <v>14.549999999999999</v>
      </c>
      <c r="G125" s="7">
        <v>69.3</v>
      </c>
      <c r="H125" s="19">
        <v>573</v>
      </c>
      <c r="J125" s="28">
        <f t="shared" si="13"/>
        <v>9</v>
      </c>
      <c r="K125" s="28">
        <f t="shared" si="14"/>
        <v>1.9980000000000002</v>
      </c>
      <c r="L125" s="28">
        <f t="shared" si="15"/>
        <v>58.199999999999996</v>
      </c>
      <c r="M125" s="28">
        <f t="shared" si="16"/>
        <v>69.197999999999993</v>
      </c>
      <c r="N125" s="33">
        <f>2350/100*30</f>
        <v>705</v>
      </c>
      <c r="T125" s="28">
        <v>7</v>
      </c>
      <c r="U125" s="33"/>
    </row>
    <row r="126" spans="1:28" x14ac:dyDescent="0.25">
      <c r="A126" s="9" t="s">
        <v>16</v>
      </c>
      <c r="B126" s="88">
        <f>SUM(B120:C125)</f>
        <v>820</v>
      </c>
      <c r="C126" s="89"/>
      <c r="D126" s="4">
        <f>SUM(D121:D125)</f>
        <v>16.700000000000003</v>
      </c>
      <c r="E126" s="4">
        <f>SUM(E121:E125)</f>
        <v>24.209500000000002</v>
      </c>
      <c r="F126" s="4">
        <f>SUM(F121:F125)</f>
        <v>98.679166666666674</v>
      </c>
      <c r="G126" s="4">
        <f>SUM(G121:G125)</f>
        <v>678.68549999999993</v>
      </c>
      <c r="H126" s="24"/>
      <c r="J126" s="28">
        <f t="shared" si="13"/>
        <v>66.800000000000011</v>
      </c>
      <c r="K126" s="28">
        <f t="shared" si="14"/>
        <v>217.88550000000001</v>
      </c>
      <c r="L126" s="28">
        <f t="shared" si="15"/>
        <v>394.7166666666667</v>
      </c>
      <c r="M126" s="28">
        <f t="shared" si="16"/>
        <v>679.40216666666674</v>
      </c>
      <c r="N126" s="33">
        <f>2350/100*50</f>
        <v>1175</v>
      </c>
      <c r="T126" s="28">
        <v>7</v>
      </c>
      <c r="U126" s="33">
        <v>816</v>
      </c>
      <c r="V126" s="30">
        <v>775.2</v>
      </c>
      <c r="W126" s="30">
        <v>856.8</v>
      </c>
    </row>
    <row r="127" spans="1:28" x14ac:dyDescent="0.25">
      <c r="A127" s="32" t="s">
        <v>17</v>
      </c>
      <c r="B127" s="129"/>
      <c r="C127" s="130"/>
      <c r="D127" s="4">
        <f>D118+D126</f>
        <v>34.612000000000009</v>
      </c>
      <c r="E127" s="4">
        <f>E118+E126</f>
        <v>41.734500000000004</v>
      </c>
      <c r="F127" s="4">
        <f>F118+F126</f>
        <v>187.51916666666671</v>
      </c>
      <c r="G127" s="4">
        <f>G118+G126</f>
        <v>1259.8434999999999</v>
      </c>
      <c r="H127" s="8"/>
      <c r="J127" s="28">
        <f t="shared" si="13"/>
        <v>138.44800000000004</v>
      </c>
      <c r="K127" s="28">
        <f t="shared" si="14"/>
        <v>375.61050000000006</v>
      </c>
      <c r="L127" s="28">
        <f t="shared" si="15"/>
        <v>750.07666666666682</v>
      </c>
      <c r="M127" s="28">
        <f t="shared" si="16"/>
        <v>1264.1351666666669</v>
      </c>
      <c r="U127" s="33">
        <f>2720/100*50</f>
        <v>1360</v>
      </c>
      <c r="W127" s="28">
        <v>1292</v>
      </c>
    </row>
    <row r="128" spans="1:28" ht="18.75" x14ac:dyDescent="0.25">
      <c r="A128" s="81" t="s">
        <v>40</v>
      </c>
      <c r="B128" s="82"/>
      <c r="C128" s="82"/>
      <c r="D128" s="82"/>
      <c r="E128" s="82"/>
      <c r="F128" s="82"/>
      <c r="G128" s="83"/>
      <c r="H128" s="65"/>
      <c r="J128" s="28">
        <f t="shared" si="13"/>
        <v>0</v>
      </c>
      <c r="K128" s="28">
        <f t="shared" si="14"/>
        <v>0</v>
      </c>
      <c r="L128" s="28">
        <f t="shared" si="15"/>
        <v>0</v>
      </c>
      <c r="M128" s="28">
        <f t="shared" si="16"/>
        <v>0</v>
      </c>
    </row>
    <row r="129" spans="1:28" ht="18.75" x14ac:dyDescent="0.25">
      <c r="A129" s="81" t="s">
        <v>34</v>
      </c>
      <c r="B129" s="82"/>
      <c r="C129" s="83"/>
      <c r="D129" s="4"/>
      <c r="E129" s="4"/>
      <c r="F129" s="4"/>
      <c r="G129" s="4"/>
      <c r="H129" s="65"/>
      <c r="J129" s="28">
        <f t="shared" si="13"/>
        <v>0</v>
      </c>
      <c r="K129" s="28">
        <f t="shared" si="14"/>
        <v>0</v>
      </c>
      <c r="L129" s="28">
        <f t="shared" si="15"/>
        <v>0</v>
      </c>
      <c r="M129" s="28">
        <f t="shared" si="16"/>
        <v>0</v>
      </c>
    </row>
    <row r="130" spans="1:28" ht="18.75" x14ac:dyDescent="0.3">
      <c r="A130" s="5" t="s">
        <v>11</v>
      </c>
      <c r="B130" s="77">
        <v>200</v>
      </c>
      <c r="C130" s="78"/>
      <c r="D130" s="7">
        <v>6.5333333333333341</v>
      </c>
      <c r="E130" s="7">
        <v>14.133333333333335</v>
      </c>
      <c r="F130" s="7">
        <v>15.866666666666667</v>
      </c>
      <c r="G130" s="7">
        <v>216.79999999999998</v>
      </c>
      <c r="H130" s="19">
        <v>171</v>
      </c>
      <c r="J130" s="28">
        <f t="shared" si="13"/>
        <v>26.133333333333336</v>
      </c>
      <c r="K130" s="28">
        <f t="shared" si="14"/>
        <v>127.20000000000002</v>
      </c>
      <c r="L130" s="28">
        <f t="shared" si="15"/>
        <v>63.466666666666669</v>
      </c>
      <c r="M130" s="28">
        <f t="shared" si="16"/>
        <v>216.8</v>
      </c>
      <c r="T130" s="28">
        <v>8</v>
      </c>
    </row>
    <row r="131" spans="1:28" ht="18.75" x14ac:dyDescent="0.3">
      <c r="A131" s="42" t="s">
        <v>12</v>
      </c>
      <c r="B131" s="86">
        <v>110</v>
      </c>
      <c r="C131" s="87"/>
      <c r="D131" s="7">
        <v>8.5</v>
      </c>
      <c r="E131" s="7">
        <v>5.5</v>
      </c>
      <c r="F131" s="7">
        <v>9.5</v>
      </c>
      <c r="G131" s="7">
        <v>120.5</v>
      </c>
      <c r="H131" s="19" t="s">
        <v>92</v>
      </c>
      <c r="J131" s="28">
        <f t="shared" si="13"/>
        <v>34</v>
      </c>
      <c r="K131" s="28">
        <f t="shared" si="14"/>
        <v>49.5</v>
      </c>
      <c r="L131" s="28">
        <f t="shared" si="15"/>
        <v>38</v>
      </c>
      <c r="M131" s="28">
        <f t="shared" si="16"/>
        <v>121.5</v>
      </c>
      <c r="T131" s="28">
        <v>8</v>
      </c>
    </row>
    <row r="132" spans="1:28" ht="18.75" x14ac:dyDescent="0.3">
      <c r="A132" s="54" t="s">
        <v>78</v>
      </c>
      <c r="B132" s="86">
        <v>20</v>
      </c>
      <c r="C132" s="87"/>
      <c r="D132" s="7">
        <v>0.96799999999999997</v>
      </c>
      <c r="E132" s="7">
        <v>1.004</v>
      </c>
      <c r="F132" s="7">
        <v>6.4119999999999999</v>
      </c>
      <c r="G132" s="7">
        <v>38.56</v>
      </c>
      <c r="H132" s="19">
        <v>576</v>
      </c>
      <c r="T132" s="28">
        <v>8</v>
      </c>
    </row>
    <row r="133" spans="1:28" ht="18.75" x14ac:dyDescent="0.3">
      <c r="A133" s="42" t="s">
        <v>95</v>
      </c>
      <c r="B133" s="86">
        <v>20</v>
      </c>
      <c r="C133" s="87"/>
      <c r="D133" s="7">
        <v>1.1000000000000001</v>
      </c>
      <c r="E133" s="7">
        <v>1.3</v>
      </c>
      <c r="F133" s="7">
        <v>6.9799999999999995</v>
      </c>
      <c r="G133" s="7">
        <v>42.18</v>
      </c>
      <c r="H133" s="19" t="s">
        <v>8</v>
      </c>
      <c r="T133" s="28">
        <v>8</v>
      </c>
    </row>
    <row r="134" spans="1:28" ht="18.75" x14ac:dyDescent="0.3">
      <c r="A134" s="42" t="s">
        <v>9</v>
      </c>
      <c r="B134" s="86">
        <v>200</v>
      </c>
      <c r="C134" s="87"/>
      <c r="D134" s="7">
        <v>0.17</v>
      </c>
      <c r="E134" s="7">
        <v>0.04</v>
      </c>
      <c r="F134" s="7">
        <v>10.5</v>
      </c>
      <c r="G134" s="7">
        <v>43.04</v>
      </c>
      <c r="H134" s="19">
        <v>376</v>
      </c>
      <c r="J134" s="28">
        <f t="shared" si="13"/>
        <v>0.68</v>
      </c>
      <c r="K134" s="28">
        <f t="shared" si="14"/>
        <v>0.36</v>
      </c>
      <c r="L134" s="28">
        <f t="shared" si="15"/>
        <v>42</v>
      </c>
      <c r="M134" s="28">
        <f t="shared" si="16"/>
        <v>43.04</v>
      </c>
      <c r="T134" s="28">
        <v>8</v>
      </c>
    </row>
    <row r="135" spans="1:28" x14ac:dyDescent="0.25">
      <c r="A135" s="9" t="s">
        <v>10</v>
      </c>
      <c r="B135" s="88">
        <f>SUM(B130:C134)</f>
        <v>550</v>
      </c>
      <c r="C135" s="89"/>
      <c r="D135" s="4">
        <f>SUM(D130:D134)</f>
        <v>17.271333333333338</v>
      </c>
      <c r="E135" s="4">
        <f>SUM(E130:E134)</f>
        <v>21.977333333333334</v>
      </c>
      <c r="F135" s="4">
        <f>SUM(F130:F134)</f>
        <v>49.258666666666663</v>
      </c>
      <c r="G135" s="4">
        <f>SUM(G130:G134)</f>
        <v>461.08</v>
      </c>
      <c r="H135" s="24"/>
      <c r="J135" s="28">
        <f t="shared" si="13"/>
        <v>69.085333333333352</v>
      </c>
      <c r="K135" s="28">
        <f t="shared" si="14"/>
        <v>197.79599999999999</v>
      </c>
      <c r="L135" s="28">
        <f t="shared" si="15"/>
        <v>197.03466666666665</v>
      </c>
      <c r="M135" s="28">
        <f t="shared" si="16"/>
        <v>463.91600000000005</v>
      </c>
      <c r="N135" s="33">
        <f>2350/100*20</f>
        <v>470</v>
      </c>
      <c r="O135" s="28">
        <f>N135/100*5</f>
        <v>23.5</v>
      </c>
      <c r="P135" s="28">
        <f>N135-O135</f>
        <v>446.5</v>
      </c>
      <c r="T135" s="28">
        <v>8</v>
      </c>
      <c r="U135" s="33">
        <v>544</v>
      </c>
      <c r="V135" s="28">
        <v>516.79999999999995</v>
      </c>
      <c r="W135" s="28">
        <v>571.20000000000005</v>
      </c>
    </row>
    <row r="136" spans="1:28" ht="18.75" x14ac:dyDescent="0.25">
      <c r="A136" s="126" t="s">
        <v>32</v>
      </c>
      <c r="B136" s="127"/>
      <c r="C136" s="127"/>
      <c r="D136" s="37"/>
      <c r="E136" s="37"/>
      <c r="F136" s="37"/>
      <c r="G136" s="37"/>
      <c r="H136" s="67"/>
      <c r="J136" s="28">
        <f t="shared" si="13"/>
        <v>0</v>
      </c>
      <c r="K136" s="28">
        <f t="shared" si="14"/>
        <v>0</v>
      </c>
      <c r="L136" s="28">
        <f t="shared" si="15"/>
        <v>0</v>
      </c>
      <c r="M136" s="28">
        <f t="shared" si="16"/>
        <v>0</v>
      </c>
      <c r="N136" s="30"/>
      <c r="T136" s="28">
        <v>8</v>
      </c>
      <c r="W136" s="28">
        <v>0</v>
      </c>
    </row>
    <row r="137" spans="1:28" ht="18.75" x14ac:dyDescent="0.25">
      <c r="A137" s="66" t="s">
        <v>96</v>
      </c>
      <c r="B137" s="143">
        <v>100</v>
      </c>
      <c r="C137" s="143"/>
      <c r="D137" s="38">
        <f>2.5-1.3</f>
        <v>1.2</v>
      </c>
      <c r="E137" s="38">
        <f>9-2.8</f>
        <v>6.2</v>
      </c>
      <c r="F137" s="38">
        <v>11.166666666666666</v>
      </c>
      <c r="G137" s="38">
        <v>105.3</v>
      </c>
      <c r="H137" s="44" t="s">
        <v>99</v>
      </c>
      <c r="N137" s="30"/>
      <c r="T137" s="28">
        <v>8</v>
      </c>
      <c r="W137" s="28">
        <v>0</v>
      </c>
      <c r="X137" s="28" t="s">
        <v>100</v>
      </c>
      <c r="Y137" s="28">
        <f>D137*4</f>
        <v>4.8</v>
      </c>
      <c r="Z137" s="28">
        <f>E137*9</f>
        <v>55.800000000000004</v>
      </c>
      <c r="AA137" s="28">
        <f>F137*4</f>
        <v>44.666666666666664</v>
      </c>
      <c r="AB137" s="28">
        <f>SUBTOTAL(9,Y137:AA137)</f>
        <v>105.26666666666667</v>
      </c>
    </row>
    <row r="138" spans="1:28" ht="18.75" x14ac:dyDescent="0.3">
      <c r="A138" s="18" t="s">
        <v>21</v>
      </c>
      <c r="B138" s="75">
        <v>250</v>
      </c>
      <c r="C138" s="76"/>
      <c r="D138" s="15">
        <v>10.125</v>
      </c>
      <c r="E138" s="15">
        <v>7.6</v>
      </c>
      <c r="F138" s="15">
        <v>9.85</v>
      </c>
      <c r="G138" s="15">
        <v>148.30000000000001</v>
      </c>
      <c r="H138" s="19">
        <v>102</v>
      </c>
      <c r="J138" s="28">
        <f t="shared" si="13"/>
        <v>40.5</v>
      </c>
      <c r="K138" s="28">
        <f t="shared" si="14"/>
        <v>68.399999999999991</v>
      </c>
      <c r="L138" s="28">
        <f t="shared" si="15"/>
        <v>39.4</v>
      </c>
      <c r="M138" s="28">
        <f t="shared" si="16"/>
        <v>148.29999999999998</v>
      </c>
      <c r="T138" s="28">
        <v>8</v>
      </c>
      <c r="W138" s="28">
        <v>0</v>
      </c>
    </row>
    <row r="139" spans="1:28" ht="18.75" x14ac:dyDescent="0.3">
      <c r="A139" s="43" t="s">
        <v>30</v>
      </c>
      <c r="B139" s="77">
        <v>180</v>
      </c>
      <c r="C139" s="78"/>
      <c r="D139" s="7">
        <v>7.56</v>
      </c>
      <c r="E139" s="7">
        <v>8.64</v>
      </c>
      <c r="F139" s="7">
        <v>18.72</v>
      </c>
      <c r="G139" s="7">
        <v>182.88</v>
      </c>
      <c r="H139" s="19">
        <v>202</v>
      </c>
      <c r="J139" s="28">
        <f t="shared" si="13"/>
        <v>30.24</v>
      </c>
      <c r="K139" s="28">
        <f t="shared" si="14"/>
        <v>77.760000000000005</v>
      </c>
      <c r="L139" s="28">
        <f t="shared" si="15"/>
        <v>74.88</v>
      </c>
      <c r="M139" s="28">
        <f t="shared" si="16"/>
        <v>182.88</v>
      </c>
      <c r="T139" s="28">
        <v>8</v>
      </c>
      <c r="W139" s="28">
        <v>0</v>
      </c>
    </row>
    <row r="140" spans="1:28" ht="18.75" x14ac:dyDescent="0.3">
      <c r="A140" s="16" t="s">
        <v>77</v>
      </c>
      <c r="B140" s="84">
        <v>100</v>
      </c>
      <c r="C140" s="85"/>
      <c r="D140" s="35">
        <v>3.27</v>
      </c>
      <c r="E140" s="35">
        <v>3.67</v>
      </c>
      <c r="F140" s="35">
        <v>14.91</v>
      </c>
      <c r="G140" s="35">
        <v>106.08</v>
      </c>
      <c r="H140" s="19" t="s">
        <v>91</v>
      </c>
      <c r="J140" s="28">
        <f t="shared" si="13"/>
        <v>13.08</v>
      </c>
      <c r="K140" s="28">
        <f t="shared" si="14"/>
        <v>33.03</v>
      </c>
      <c r="L140" s="28">
        <f t="shared" si="15"/>
        <v>59.64</v>
      </c>
      <c r="M140" s="28">
        <f t="shared" si="16"/>
        <v>105.75</v>
      </c>
      <c r="T140" s="28">
        <v>8</v>
      </c>
      <c r="W140" s="28">
        <v>0</v>
      </c>
    </row>
    <row r="141" spans="1:28" ht="18.75" x14ac:dyDescent="0.3">
      <c r="A141" s="42" t="s">
        <v>20</v>
      </c>
      <c r="B141" s="86">
        <v>200</v>
      </c>
      <c r="C141" s="87"/>
      <c r="D141" s="7">
        <v>0.2</v>
      </c>
      <c r="E141" s="7">
        <v>0</v>
      </c>
      <c r="F141" s="7">
        <v>10.4</v>
      </c>
      <c r="G141" s="7">
        <v>41.9</v>
      </c>
      <c r="H141" s="19">
        <v>388</v>
      </c>
      <c r="J141" s="28">
        <f t="shared" si="13"/>
        <v>0.8</v>
      </c>
      <c r="K141" s="28">
        <f t="shared" si="14"/>
        <v>0</v>
      </c>
      <c r="L141" s="28">
        <f t="shared" si="15"/>
        <v>41.6</v>
      </c>
      <c r="M141" s="28">
        <f t="shared" si="16"/>
        <v>42.4</v>
      </c>
      <c r="N141" s="30"/>
      <c r="T141" s="28">
        <v>8</v>
      </c>
      <c r="W141" s="28">
        <v>0</v>
      </c>
    </row>
    <row r="142" spans="1:28" ht="18.75" x14ac:dyDescent="0.3">
      <c r="A142" s="42" t="s">
        <v>14</v>
      </c>
      <c r="B142" s="86">
        <v>20</v>
      </c>
      <c r="C142" s="87"/>
      <c r="D142" s="7">
        <v>1</v>
      </c>
      <c r="E142" s="7">
        <v>0.2</v>
      </c>
      <c r="F142" s="7">
        <v>9.2000000000000011</v>
      </c>
      <c r="G142" s="7">
        <v>42.347999999999999</v>
      </c>
      <c r="H142" s="19">
        <v>574</v>
      </c>
      <c r="J142" s="28">
        <f t="shared" si="13"/>
        <v>4</v>
      </c>
      <c r="K142" s="28">
        <f t="shared" si="14"/>
        <v>1.8</v>
      </c>
      <c r="L142" s="28">
        <f t="shared" si="15"/>
        <v>36.800000000000004</v>
      </c>
      <c r="M142" s="28">
        <f t="shared" si="16"/>
        <v>42.6</v>
      </c>
      <c r="N142" s="30"/>
      <c r="T142" s="28">
        <v>8</v>
      </c>
      <c r="W142" s="28">
        <v>0</v>
      </c>
    </row>
    <row r="143" spans="1:28" ht="18.75" x14ac:dyDescent="0.3">
      <c r="A143" s="42" t="s">
        <v>15</v>
      </c>
      <c r="B143" s="86">
        <v>30</v>
      </c>
      <c r="C143" s="87"/>
      <c r="D143" s="7">
        <v>2.25</v>
      </c>
      <c r="E143" s="7">
        <v>0.22200000000000003</v>
      </c>
      <c r="F143" s="7">
        <v>14.549999999999999</v>
      </c>
      <c r="G143" s="7">
        <v>69.3</v>
      </c>
      <c r="H143" s="19">
        <v>573</v>
      </c>
      <c r="J143" s="28">
        <f t="shared" si="13"/>
        <v>9</v>
      </c>
      <c r="K143" s="28">
        <f t="shared" si="14"/>
        <v>1.9980000000000002</v>
      </c>
      <c r="L143" s="28">
        <f t="shared" si="15"/>
        <v>58.199999999999996</v>
      </c>
      <c r="M143" s="28">
        <f t="shared" si="16"/>
        <v>69.197999999999993</v>
      </c>
      <c r="N143" s="33">
        <f>2350/100*30</f>
        <v>705</v>
      </c>
      <c r="T143" s="28">
        <v>8</v>
      </c>
      <c r="U143" s="33"/>
      <c r="W143" s="33"/>
    </row>
    <row r="144" spans="1:28" x14ac:dyDescent="0.25">
      <c r="A144" s="9" t="s">
        <v>16</v>
      </c>
      <c r="B144" s="88">
        <f>SUM(B137:C143)</f>
        <v>880</v>
      </c>
      <c r="C144" s="89"/>
      <c r="D144" s="4">
        <f>SUM(D137:D143)</f>
        <v>25.604999999999997</v>
      </c>
      <c r="E144" s="4">
        <f t="shared" ref="E144:G144" si="20">SUM(E137:E143)</f>
        <v>26.532</v>
      </c>
      <c r="F144" s="4">
        <f t="shared" si="20"/>
        <v>88.796666666666667</v>
      </c>
      <c r="G144" s="4">
        <f t="shared" si="20"/>
        <v>696.10799999999995</v>
      </c>
      <c r="H144" s="24"/>
      <c r="J144" s="28">
        <f t="shared" si="13"/>
        <v>102.41999999999999</v>
      </c>
      <c r="K144" s="28">
        <f t="shared" si="14"/>
        <v>238.78800000000001</v>
      </c>
      <c r="L144" s="28">
        <f t="shared" si="15"/>
        <v>355.18666666666667</v>
      </c>
      <c r="M144" s="28">
        <f t="shared" si="16"/>
        <v>696.39466666666658</v>
      </c>
      <c r="N144" s="33">
        <f>2350/100*50</f>
        <v>1175</v>
      </c>
      <c r="T144" s="28">
        <v>8</v>
      </c>
      <c r="U144" s="33">
        <v>816</v>
      </c>
      <c r="V144" s="30">
        <v>775.2</v>
      </c>
      <c r="W144" s="30">
        <v>856.8</v>
      </c>
    </row>
    <row r="145" spans="1:28" x14ac:dyDescent="0.25">
      <c r="A145" s="32" t="s">
        <v>17</v>
      </c>
      <c r="B145" s="129"/>
      <c r="C145" s="130"/>
      <c r="D145" s="4">
        <f>D135+D144</f>
        <v>42.876333333333335</v>
      </c>
      <c r="E145" s="4">
        <f>E135+E144</f>
        <v>48.509333333333331</v>
      </c>
      <c r="F145" s="4">
        <f>F135+F144</f>
        <v>138.05533333333332</v>
      </c>
      <c r="G145" s="4">
        <f>G135+G144</f>
        <v>1157.1879999999999</v>
      </c>
      <c r="H145" s="8"/>
      <c r="J145" s="28">
        <f t="shared" si="13"/>
        <v>171.50533333333334</v>
      </c>
      <c r="K145" s="28">
        <f t="shared" si="14"/>
        <v>436.58399999999995</v>
      </c>
      <c r="L145" s="28">
        <f t="shared" si="15"/>
        <v>552.22133333333329</v>
      </c>
      <c r="M145" s="28">
        <f t="shared" si="16"/>
        <v>1160.3106666666667</v>
      </c>
      <c r="T145" s="28">
        <v>8</v>
      </c>
      <c r="U145" s="33">
        <f>2720/100*50</f>
        <v>1360</v>
      </c>
      <c r="W145" s="28">
        <v>1292</v>
      </c>
    </row>
    <row r="146" spans="1:28" ht="18.75" x14ac:dyDescent="0.25">
      <c r="A146" s="81" t="s">
        <v>41</v>
      </c>
      <c r="B146" s="82"/>
      <c r="C146" s="82"/>
      <c r="D146" s="82"/>
      <c r="E146" s="82"/>
      <c r="F146" s="82"/>
      <c r="G146" s="83"/>
      <c r="H146" s="65"/>
      <c r="J146" s="28">
        <f t="shared" si="13"/>
        <v>0</v>
      </c>
      <c r="K146" s="28">
        <f t="shared" si="14"/>
        <v>0</v>
      </c>
      <c r="L146" s="28">
        <f t="shared" si="15"/>
        <v>0</v>
      </c>
      <c r="M146" s="28">
        <f t="shared" si="16"/>
        <v>0</v>
      </c>
    </row>
    <row r="147" spans="1:28" ht="18.75" x14ac:dyDescent="0.25">
      <c r="A147" s="81" t="s">
        <v>34</v>
      </c>
      <c r="B147" s="82"/>
      <c r="C147" s="83"/>
      <c r="D147" s="4"/>
      <c r="E147" s="4"/>
      <c r="F147" s="4"/>
      <c r="G147" s="4"/>
      <c r="H147" s="65"/>
      <c r="J147" s="28">
        <f t="shared" si="13"/>
        <v>0</v>
      </c>
      <c r="K147" s="28">
        <f t="shared" si="14"/>
        <v>0</v>
      </c>
      <c r="L147" s="28">
        <f t="shared" si="15"/>
        <v>0</v>
      </c>
      <c r="M147" s="28">
        <f t="shared" si="16"/>
        <v>0</v>
      </c>
    </row>
    <row r="148" spans="1:28" ht="18.75" x14ac:dyDescent="0.3">
      <c r="A148" s="16" t="s">
        <v>117</v>
      </c>
      <c r="B148" s="77">
        <v>200</v>
      </c>
      <c r="C148" s="78"/>
      <c r="D148" s="13">
        <f>9.82666666666666-2.77</f>
        <v>7.0566666666666613</v>
      </c>
      <c r="E148" s="13">
        <f>11.7633333333333-2.98</f>
        <v>8.7833333333332995</v>
      </c>
      <c r="F148" s="13">
        <v>37.724000000000004</v>
      </c>
      <c r="G148" s="38">
        <v>258.17</v>
      </c>
      <c r="H148" s="19">
        <v>173</v>
      </c>
      <c r="J148" s="28">
        <f t="shared" si="13"/>
        <v>28.226666666666645</v>
      </c>
      <c r="K148" s="28">
        <f t="shared" si="14"/>
        <v>79.049999999999699</v>
      </c>
      <c r="L148" s="28">
        <f t="shared" si="15"/>
        <v>150.89600000000002</v>
      </c>
      <c r="M148" s="28">
        <f t="shared" si="16"/>
        <v>258.17266666666637</v>
      </c>
      <c r="T148" s="28">
        <v>9</v>
      </c>
    </row>
    <row r="149" spans="1:28" ht="18.75" x14ac:dyDescent="0.3">
      <c r="A149" s="54" t="s">
        <v>84</v>
      </c>
      <c r="B149" s="86">
        <v>30</v>
      </c>
      <c r="C149" s="87"/>
      <c r="D149" s="7">
        <v>1.1000000000000001</v>
      </c>
      <c r="E149" s="7">
        <v>8.3000000000000007</v>
      </c>
      <c r="F149" s="7">
        <v>6.5</v>
      </c>
      <c r="G149" s="7">
        <v>105.1</v>
      </c>
      <c r="H149" s="19" t="s">
        <v>88</v>
      </c>
      <c r="J149" s="28">
        <f t="shared" si="13"/>
        <v>4.4000000000000004</v>
      </c>
      <c r="K149" s="28">
        <f t="shared" si="14"/>
        <v>74.7</v>
      </c>
      <c r="L149" s="28">
        <f t="shared" si="15"/>
        <v>26</v>
      </c>
      <c r="M149" s="28">
        <f t="shared" si="16"/>
        <v>105.10000000000001</v>
      </c>
      <c r="O149" s="56"/>
      <c r="T149" s="28">
        <v>9</v>
      </c>
    </row>
    <row r="150" spans="1:28" ht="18.75" x14ac:dyDescent="0.3">
      <c r="A150" s="42" t="s">
        <v>83</v>
      </c>
      <c r="B150" s="86">
        <v>100</v>
      </c>
      <c r="C150" s="87"/>
      <c r="D150" s="7">
        <f>0.9/100*150</f>
        <v>1.35</v>
      </c>
      <c r="E150" s="7">
        <f>0.23/100*150</f>
        <v>0.34499999999999997</v>
      </c>
      <c r="F150" s="7">
        <f>11.8/100*150-1.75</f>
        <v>15.950000000000003</v>
      </c>
      <c r="G150" s="7">
        <v>72.3</v>
      </c>
      <c r="H150" s="19" t="s">
        <v>58</v>
      </c>
      <c r="T150" s="28">
        <v>9</v>
      </c>
    </row>
    <row r="151" spans="1:28" ht="18.75" x14ac:dyDescent="0.3">
      <c r="A151" s="42" t="s">
        <v>95</v>
      </c>
      <c r="B151" s="86">
        <v>30</v>
      </c>
      <c r="C151" s="87"/>
      <c r="D151" s="7">
        <f>5.5/100*30</f>
        <v>1.65</v>
      </c>
      <c r="E151" s="7">
        <f>6.5/100*30</f>
        <v>1.9500000000000002</v>
      </c>
      <c r="F151" s="7">
        <f>34.9/100*30</f>
        <v>10.469999999999999</v>
      </c>
      <c r="G151" s="7">
        <f>210.9/100*30</f>
        <v>63.269999999999996</v>
      </c>
      <c r="H151" s="19" t="s">
        <v>8</v>
      </c>
      <c r="T151" s="28">
        <v>9</v>
      </c>
    </row>
    <row r="152" spans="1:28" ht="18.75" x14ac:dyDescent="0.3">
      <c r="A152" s="16" t="s">
        <v>18</v>
      </c>
      <c r="B152" s="86">
        <v>200</v>
      </c>
      <c r="C152" s="87"/>
      <c r="D152" s="7">
        <v>0.26</v>
      </c>
      <c r="E152" s="7">
        <v>0.05</v>
      </c>
      <c r="F152" s="7">
        <v>12.26</v>
      </c>
      <c r="G152" s="7">
        <v>49.72</v>
      </c>
      <c r="H152" s="19">
        <v>377</v>
      </c>
      <c r="J152" s="28">
        <f t="shared" si="13"/>
        <v>1.04</v>
      </c>
      <c r="K152" s="28">
        <f t="shared" si="14"/>
        <v>0.45</v>
      </c>
      <c r="L152" s="28">
        <f t="shared" si="15"/>
        <v>49.04</v>
      </c>
      <c r="M152" s="28">
        <f t="shared" si="16"/>
        <v>50.53</v>
      </c>
      <c r="T152" s="28">
        <v>9</v>
      </c>
    </row>
    <row r="153" spans="1:28" x14ac:dyDescent="0.25">
      <c r="A153" s="9" t="s">
        <v>10</v>
      </c>
      <c r="B153" s="88">
        <f>SUM(B148:C152)</f>
        <v>560</v>
      </c>
      <c r="C153" s="89"/>
      <c r="D153" s="4">
        <f>SUM(D148:D152)</f>
        <v>11.416666666666661</v>
      </c>
      <c r="E153" s="4">
        <f>SUM(E148:E152)</f>
        <v>19.428333333333299</v>
      </c>
      <c r="F153" s="4">
        <f>SUM(F148:F152)</f>
        <v>82.904000000000011</v>
      </c>
      <c r="G153" s="4">
        <f>SUM(G148:G152)</f>
        <v>548.55999999999995</v>
      </c>
      <c r="H153" s="24"/>
      <c r="J153" s="28">
        <f t="shared" si="13"/>
        <v>45.666666666666643</v>
      </c>
      <c r="K153" s="28">
        <f t="shared" si="14"/>
        <v>174.85499999999968</v>
      </c>
      <c r="L153" s="28">
        <f t="shared" si="15"/>
        <v>331.61600000000004</v>
      </c>
      <c r="M153" s="28">
        <f t="shared" si="16"/>
        <v>552.13766666666629</v>
      </c>
      <c r="T153" s="28">
        <v>9</v>
      </c>
      <c r="U153" s="33">
        <v>544</v>
      </c>
      <c r="V153" s="28">
        <v>516.79999999999995</v>
      </c>
      <c r="W153" s="28">
        <v>571.20000000000005</v>
      </c>
    </row>
    <row r="154" spans="1:28" ht="18.75" x14ac:dyDescent="0.25">
      <c r="A154" s="81" t="s">
        <v>32</v>
      </c>
      <c r="B154" s="82"/>
      <c r="C154" s="82"/>
      <c r="D154" s="11"/>
      <c r="E154" s="11"/>
      <c r="F154" s="11"/>
      <c r="G154" s="11"/>
      <c r="H154" s="11"/>
      <c r="J154" s="28">
        <f t="shared" si="13"/>
        <v>0</v>
      </c>
      <c r="K154" s="28">
        <f t="shared" si="14"/>
        <v>0</v>
      </c>
      <c r="L154" s="28">
        <f t="shared" si="15"/>
        <v>0</v>
      </c>
      <c r="M154" s="28">
        <f t="shared" si="16"/>
        <v>0</v>
      </c>
      <c r="T154" s="28">
        <v>9</v>
      </c>
      <c r="W154" s="28">
        <v>0</v>
      </c>
    </row>
    <row r="155" spans="1:28" ht="18.75" x14ac:dyDescent="0.25">
      <c r="A155" s="61" t="s">
        <v>98</v>
      </c>
      <c r="B155" s="142">
        <v>100</v>
      </c>
      <c r="C155" s="142"/>
      <c r="D155" s="38">
        <f>2.5-1.3</f>
        <v>1.2</v>
      </c>
      <c r="E155" s="38">
        <f>9-2.8</f>
        <v>6.2</v>
      </c>
      <c r="F155" s="38">
        <v>11.166666666666666</v>
      </c>
      <c r="G155" s="38">
        <v>105.26</v>
      </c>
      <c r="H155" s="44">
        <v>75</v>
      </c>
      <c r="T155" s="28">
        <v>9</v>
      </c>
      <c r="W155" s="28">
        <v>0</v>
      </c>
      <c r="X155" s="28" t="s">
        <v>100</v>
      </c>
      <c r="Y155" s="28">
        <f>D155*4</f>
        <v>4.8</v>
      </c>
      <c r="Z155" s="28">
        <f>E155*9</f>
        <v>55.800000000000004</v>
      </c>
      <c r="AA155" s="28">
        <f>F155*4</f>
        <v>44.666666666666664</v>
      </c>
      <c r="AB155" s="28">
        <f>SUBTOTAL(9,Y155:AA155)</f>
        <v>105.26666666666667</v>
      </c>
    </row>
    <row r="156" spans="1:28" ht="18.75" x14ac:dyDescent="0.3">
      <c r="A156" s="43" t="s">
        <v>86</v>
      </c>
      <c r="B156" s="144">
        <v>250</v>
      </c>
      <c r="C156" s="141"/>
      <c r="D156" s="17">
        <v>2.7500000000000004</v>
      </c>
      <c r="E156" s="17">
        <v>5.9250000000000007</v>
      </c>
      <c r="F156" s="17">
        <v>25.324999999999999</v>
      </c>
      <c r="G156" s="17">
        <v>164.85</v>
      </c>
      <c r="H156" s="19">
        <v>122</v>
      </c>
      <c r="J156" s="28">
        <f t="shared" si="13"/>
        <v>11.000000000000002</v>
      </c>
      <c r="K156" s="28">
        <f t="shared" si="14"/>
        <v>53.325000000000003</v>
      </c>
      <c r="L156" s="28">
        <f t="shared" si="15"/>
        <v>101.3</v>
      </c>
      <c r="M156" s="28">
        <f t="shared" si="16"/>
        <v>165.625</v>
      </c>
      <c r="T156" s="28">
        <v>9</v>
      </c>
      <c r="W156" s="28">
        <v>0</v>
      </c>
    </row>
    <row r="157" spans="1:28" ht="18.75" x14ac:dyDescent="0.3">
      <c r="A157" s="5" t="s">
        <v>60</v>
      </c>
      <c r="B157" s="77">
        <v>180</v>
      </c>
      <c r="C157" s="78"/>
      <c r="D157" s="7">
        <v>12.36</v>
      </c>
      <c r="E157" s="7">
        <v>12.36</v>
      </c>
      <c r="F157" s="7">
        <v>30.924000000000003</v>
      </c>
      <c r="G157" s="7">
        <v>284.37599999999998</v>
      </c>
      <c r="H157" s="19">
        <v>199</v>
      </c>
      <c r="J157" s="28">
        <f t="shared" si="13"/>
        <v>49.44</v>
      </c>
      <c r="K157" s="28">
        <f t="shared" si="14"/>
        <v>111.24</v>
      </c>
      <c r="L157" s="28">
        <f t="shared" si="15"/>
        <v>123.69600000000001</v>
      </c>
      <c r="M157" s="28">
        <f t="shared" si="16"/>
        <v>284.37600000000003</v>
      </c>
      <c r="T157" s="28">
        <v>9</v>
      </c>
      <c r="W157" s="28">
        <v>0</v>
      </c>
    </row>
    <row r="158" spans="1:28" ht="18.75" x14ac:dyDescent="0.3">
      <c r="A158" s="43" t="s">
        <v>19</v>
      </c>
      <c r="B158" s="79">
        <v>110</v>
      </c>
      <c r="C158" s="80"/>
      <c r="D158" s="17">
        <v>7.8090909090909086</v>
      </c>
      <c r="E158" s="17">
        <v>7.6999999999999993</v>
      </c>
      <c r="F158" s="17">
        <v>8.0909090909090917</v>
      </c>
      <c r="G158" s="17">
        <v>132.54</v>
      </c>
      <c r="H158" s="19" t="s">
        <v>90</v>
      </c>
      <c r="J158" s="28">
        <f t="shared" si="13"/>
        <v>31.236363636363635</v>
      </c>
      <c r="K158" s="28">
        <f t="shared" si="14"/>
        <v>69.3</v>
      </c>
      <c r="L158" s="28">
        <f t="shared" si="15"/>
        <v>32.363636363636367</v>
      </c>
      <c r="M158" s="28">
        <f t="shared" si="16"/>
        <v>132.9</v>
      </c>
      <c r="T158" s="28">
        <v>9</v>
      </c>
      <c r="W158" s="28">
        <v>0</v>
      </c>
    </row>
    <row r="159" spans="1:28" ht="18.75" x14ac:dyDescent="0.3">
      <c r="A159" s="12" t="s">
        <v>64</v>
      </c>
      <c r="B159" s="77">
        <v>200</v>
      </c>
      <c r="C159" s="78"/>
      <c r="D159" s="13">
        <v>0.27</v>
      </c>
      <c r="E159" s="13">
        <v>0.1</v>
      </c>
      <c r="F159" s="7">
        <v>26.55</v>
      </c>
      <c r="G159" s="7">
        <v>108.2</v>
      </c>
      <c r="H159" s="19">
        <v>484</v>
      </c>
      <c r="J159" s="28">
        <f t="shared" ref="J159:J184" si="21">D159*4</f>
        <v>1.08</v>
      </c>
      <c r="K159" s="28">
        <f t="shared" ref="K159:K184" si="22">E159*9</f>
        <v>0.9</v>
      </c>
      <c r="L159" s="28">
        <f t="shared" ref="L159:L184" si="23">F159*4</f>
        <v>106.2</v>
      </c>
      <c r="M159" s="28">
        <f t="shared" ref="M159:M184" si="24">SUM(J159:L159)</f>
        <v>108.18</v>
      </c>
      <c r="T159" s="28">
        <v>9</v>
      </c>
      <c r="W159" s="28">
        <v>0</v>
      </c>
    </row>
    <row r="160" spans="1:28" ht="18.75" x14ac:dyDescent="0.3">
      <c r="A160" s="42" t="s">
        <v>14</v>
      </c>
      <c r="B160" s="86">
        <v>20</v>
      </c>
      <c r="C160" s="87"/>
      <c r="D160" s="7">
        <v>1</v>
      </c>
      <c r="E160" s="7">
        <v>0.2</v>
      </c>
      <c r="F160" s="7">
        <v>9.2000000000000011</v>
      </c>
      <c r="G160" s="7">
        <v>42.347999999999999</v>
      </c>
      <c r="H160" s="19">
        <v>574</v>
      </c>
      <c r="J160" s="28">
        <f t="shared" si="21"/>
        <v>4</v>
      </c>
      <c r="K160" s="28">
        <f t="shared" si="22"/>
        <v>1.8</v>
      </c>
      <c r="L160" s="28">
        <f t="shared" si="23"/>
        <v>36.800000000000004</v>
      </c>
      <c r="M160" s="28">
        <f t="shared" si="24"/>
        <v>42.6</v>
      </c>
      <c r="T160" s="28">
        <v>9</v>
      </c>
      <c r="W160" s="28">
        <v>0</v>
      </c>
    </row>
    <row r="161" spans="1:28" ht="18.75" x14ac:dyDescent="0.3">
      <c r="A161" s="42" t="s">
        <v>15</v>
      </c>
      <c r="B161" s="86">
        <v>30</v>
      </c>
      <c r="C161" s="87"/>
      <c r="D161" s="7">
        <v>2.25</v>
      </c>
      <c r="E161" s="7">
        <v>0.22200000000000003</v>
      </c>
      <c r="F161" s="7">
        <v>14.549999999999999</v>
      </c>
      <c r="G161" s="7">
        <v>69.3</v>
      </c>
      <c r="H161" s="19">
        <v>573</v>
      </c>
      <c r="J161" s="28">
        <f t="shared" si="21"/>
        <v>9</v>
      </c>
      <c r="K161" s="28">
        <f t="shared" si="22"/>
        <v>1.9980000000000002</v>
      </c>
      <c r="L161" s="28">
        <f t="shared" si="23"/>
        <v>58.199999999999996</v>
      </c>
      <c r="M161" s="28">
        <f t="shared" si="24"/>
        <v>69.197999999999993</v>
      </c>
      <c r="T161" s="28">
        <v>9</v>
      </c>
      <c r="U161" s="33"/>
      <c r="W161" s="33"/>
    </row>
    <row r="162" spans="1:28" x14ac:dyDescent="0.25">
      <c r="A162" s="9" t="s">
        <v>16</v>
      </c>
      <c r="B162" s="88">
        <f>SUM(B155:C161)</f>
        <v>890</v>
      </c>
      <c r="C162" s="89"/>
      <c r="D162" s="21">
        <f>SUM(D155:D161)</f>
        <v>27.639090909090907</v>
      </c>
      <c r="E162" s="21">
        <f>SUM(E155:E161)</f>
        <v>32.707000000000008</v>
      </c>
      <c r="F162" s="21">
        <f>SUM(F155:F161)</f>
        <v>125.80657575757576</v>
      </c>
      <c r="G162" s="21">
        <f>SUM(G155:G161)</f>
        <v>906.87399999999991</v>
      </c>
      <c r="H162" s="24"/>
      <c r="J162" s="28">
        <f t="shared" si="21"/>
        <v>110.55636363636363</v>
      </c>
      <c r="K162" s="28">
        <f t="shared" si="22"/>
        <v>294.36300000000006</v>
      </c>
      <c r="L162" s="28">
        <f t="shared" si="23"/>
        <v>503.22630303030303</v>
      </c>
      <c r="M162" s="28">
        <f t="shared" si="24"/>
        <v>908.14566666666678</v>
      </c>
      <c r="N162" s="33">
        <f>2350/100*30</f>
        <v>705</v>
      </c>
      <c r="U162" s="33">
        <v>816</v>
      </c>
      <c r="V162" s="30">
        <v>775.2</v>
      </c>
      <c r="W162" s="30">
        <v>856.8</v>
      </c>
    </row>
    <row r="163" spans="1:28" x14ac:dyDescent="0.25">
      <c r="A163" s="32" t="s">
        <v>17</v>
      </c>
      <c r="B163" s="129"/>
      <c r="C163" s="130"/>
      <c r="D163" s="4">
        <f>D153+D162</f>
        <v>39.055757575757568</v>
      </c>
      <c r="E163" s="4">
        <f>E153+E162</f>
        <v>52.135333333333307</v>
      </c>
      <c r="F163" s="4">
        <f>F153+F162</f>
        <v>208.71057575757578</v>
      </c>
      <c r="G163" s="4">
        <f>G153+G162</f>
        <v>1455.4339999999997</v>
      </c>
      <c r="H163" s="8"/>
      <c r="J163" s="28">
        <f t="shared" si="21"/>
        <v>156.22303030303027</v>
      </c>
      <c r="K163" s="28">
        <f t="shared" si="22"/>
        <v>469.21799999999973</v>
      </c>
      <c r="L163" s="28">
        <f t="shared" si="23"/>
        <v>834.84230303030313</v>
      </c>
      <c r="M163" s="28">
        <f t="shared" si="24"/>
        <v>1460.2833333333331</v>
      </c>
      <c r="N163" s="33">
        <f>2350/100*50</f>
        <v>1175</v>
      </c>
      <c r="U163" s="33">
        <f>2720/100*50</f>
        <v>1360</v>
      </c>
      <c r="W163" s="28">
        <v>1292</v>
      </c>
    </row>
    <row r="164" spans="1:28" ht="18.75" x14ac:dyDescent="0.25">
      <c r="A164" s="81" t="s">
        <v>42</v>
      </c>
      <c r="B164" s="82"/>
      <c r="C164" s="82"/>
      <c r="D164" s="82"/>
      <c r="E164" s="82"/>
      <c r="F164" s="82"/>
      <c r="G164" s="82"/>
      <c r="H164" s="83"/>
      <c r="J164" s="28">
        <f t="shared" si="21"/>
        <v>0</v>
      </c>
      <c r="K164" s="28">
        <f t="shared" si="22"/>
        <v>0</v>
      </c>
      <c r="L164" s="28">
        <f t="shared" si="23"/>
        <v>0</v>
      </c>
      <c r="M164" s="28">
        <f t="shared" si="24"/>
        <v>0</v>
      </c>
    </row>
    <row r="165" spans="1:28" ht="18.75" x14ac:dyDescent="0.25">
      <c r="A165" s="62" t="s">
        <v>43</v>
      </c>
      <c r="B165" s="81"/>
      <c r="C165" s="83"/>
      <c r="D165" s="4"/>
      <c r="E165" s="4"/>
      <c r="F165" s="4"/>
      <c r="G165" s="4"/>
      <c r="H165" s="65"/>
      <c r="J165" s="28">
        <f t="shared" si="21"/>
        <v>0</v>
      </c>
      <c r="K165" s="28">
        <f t="shared" si="22"/>
        <v>0</v>
      </c>
      <c r="L165" s="28">
        <f t="shared" si="23"/>
        <v>0</v>
      </c>
      <c r="M165" s="28">
        <f t="shared" si="24"/>
        <v>0</v>
      </c>
    </row>
    <row r="166" spans="1:28" ht="18.75" x14ac:dyDescent="0.25">
      <c r="A166" s="5" t="s">
        <v>107</v>
      </c>
      <c r="B166" s="98" t="s">
        <v>106</v>
      </c>
      <c r="C166" s="99"/>
      <c r="D166" s="15">
        <v>3.8</v>
      </c>
      <c r="E166" s="15">
        <v>15.6</v>
      </c>
      <c r="F166" s="15">
        <v>40.200000000000003</v>
      </c>
      <c r="G166" s="15">
        <v>356.4</v>
      </c>
      <c r="H166" s="41">
        <v>397</v>
      </c>
      <c r="J166" s="28">
        <f t="shared" si="21"/>
        <v>15.2</v>
      </c>
      <c r="K166" s="28">
        <f t="shared" si="22"/>
        <v>140.4</v>
      </c>
      <c r="L166" s="28">
        <f t="shared" si="23"/>
        <v>160.80000000000001</v>
      </c>
      <c r="M166" s="28">
        <f t="shared" si="24"/>
        <v>316.39999999999998</v>
      </c>
      <c r="T166" s="28">
        <v>10</v>
      </c>
    </row>
    <row r="167" spans="1:28" ht="18.75" x14ac:dyDescent="0.3">
      <c r="A167" s="42" t="s">
        <v>83</v>
      </c>
      <c r="B167" s="86">
        <v>130</v>
      </c>
      <c r="C167" s="87"/>
      <c r="D167" s="7">
        <v>1.8</v>
      </c>
      <c r="E167" s="7">
        <v>0.41399999999999998</v>
      </c>
      <c r="F167" s="7">
        <v>20.7</v>
      </c>
      <c r="G167" s="7">
        <v>94</v>
      </c>
      <c r="H167" s="19" t="s">
        <v>58</v>
      </c>
      <c r="J167" s="28">
        <f t="shared" si="21"/>
        <v>7.2</v>
      </c>
      <c r="K167" s="28">
        <f t="shared" si="22"/>
        <v>3.726</v>
      </c>
      <c r="L167" s="28">
        <f t="shared" si="23"/>
        <v>82.8</v>
      </c>
      <c r="M167" s="28">
        <f t="shared" si="24"/>
        <v>93.725999999999999</v>
      </c>
      <c r="T167" s="28">
        <v>10</v>
      </c>
    </row>
    <row r="168" spans="1:28" ht="18.75" x14ac:dyDescent="0.3">
      <c r="A168" s="42" t="s">
        <v>95</v>
      </c>
      <c r="B168" s="86">
        <v>50</v>
      </c>
      <c r="C168" s="87"/>
      <c r="D168" s="7">
        <v>2.75</v>
      </c>
      <c r="E168" s="7">
        <v>3.25</v>
      </c>
      <c r="F168" s="7">
        <v>17.45</v>
      </c>
      <c r="G168" s="7">
        <v>105.45</v>
      </c>
      <c r="H168" s="19" t="s">
        <v>8</v>
      </c>
      <c r="T168" s="28">
        <v>10</v>
      </c>
    </row>
    <row r="169" spans="1:28" ht="18.75" x14ac:dyDescent="0.3">
      <c r="A169" s="42" t="s">
        <v>9</v>
      </c>
      <c r="B169" s="77">
        <v>200</v>
      </c>
      <c r="C169" s="78"/>
      <c r="D169" s="7">
        <v>0.17</v>
      </c>
      <c r="E169" s="7">
        <v>0.04</v>
      </c>
      <c r="F169" s="7">
        <v>10.5</v>
      </c>
      <c r="G169" s="7">
        <v>43.04</v>
      </c>
      <c r="H169" s="19">
        <v>376</v>
      </c>
      <c r="J169" s="28">
        <f t="shared" si="21"/>
        <v>0.68</v>
      </c>
      <c r="K169" s="28">
        <f t="shared" si="22"/>
        <v>0.36</v>
      </c>
      <c r="L169" s="28">
        <f t="shared" si="23"/>
        <v>42</v>
      </c>
      <c r="M169" s="28">
        <f t="shared" si="24"/>
        <v>43.04</v>
      </c>
      <c r="T169" s="28">
        <v>10</v>
      </c>
    </row>
    <row r="170" spans="1:28" x14ac:dyDescent="0.25">
      <c r="A170" s="9" t="s">
        <v>10</v>
      </c>
      <c r="B170" s="92">
        <f>SUM(B166:C169)+170</f>
        <v>550</v>
      </c>
      <c r="C170" s="93"/>
      <c r="D170" s="4">
        <f>SUM(D166:D169)</f>
        <v>8.52</v>
      </c>
      <c r="E170" s="4">
        <f>SUM(E166:E169)</f>
        <v>19.303999999999998</v>
      </c>
      <c r="F170" s="4">
        <f>SUM(F166:F169)</f>
        <v>88.850000000000009</v>
      </c>
      <c r="G170" s="4">
        <f>SUM(G166:G169)</f>
        <v>598.89</v>
      </c>
      <c r="H170" s="24"/>
      <c r="J170" s="28">
        <f t="shared" si="21"/>
        <v>34.08</v>
      </c>
      <c r="K170" s="28">
        <f t="shared" si="22"/>
        <v>173.73599999999999</v>
      </c>
      <c r="L170" s="28">
        <f t="shared" si="23"/>
        <v>355.40000000000003</v>
      </c>
      <c r="M170" s="28">
        <f t="shared" si="24"/>
        <v>563.21600000000001</v>
      </c>
      <c r="N170" s="33">
        <f>2350/100*20</f>
        <v>470</v>
      </c>
      <c r="T170" s="28">
        <v>10</v>
      </c>
      <c r="U170" s="33">
        <v>544</v>
      </c>
      <c r="V170" s="28">
        <v>516.79999999999995</v>
      </c>
      <c r="W170" s="28">
        <v>571.20000000000005</v>
      </c>
    </row>
    <row r="171" spans="1:28" ht="18.75" x14ac:dyDescent="0.25">
      <c r="A171" s="81" t="s">
        <v>32</v>
      </c>
      <c r="B171" s="82"/>
      <c r="C171" s="83"/>
      <c r="D171" s="4"/>
      <c r="E171" s="4"/>
      <c r="F171" s="4"/>
      <c r="G171" s="4"/>
      <c r="H171" s="65"/>
      <c r="J171" s="28">
        <f t="shared" si="21"/>
        <v>0</v>
      </c>
      <c r="K171" s="28">
        <f t="shared" si="22"/>
        <v>0</v>
      </c>
      <c r="L171" s="28">
        <f t="shared" si="23"/>
        <v>0</v>
      </c>
      <c r="M171" s="28">
        <f t="shared" si="24"/>
        <v>0</v>
      </c>
      <c r="N171" s="30"/>
      <c r="T171" s="28">
        <v>10</v>
      </c>
      <c r="W171" s="28">
        <v>0</v>
      </c>
    </row>
    <row r="172" spans="1:28" ht="18.75" x14ac:dyDescent="0.25">
      <c r="A172" s="61" t="s">
        <v>97</v>
      </c>
      <c r="B172" s="142">
        <v>100</v>
      </c>
      <c r="C172" s="142"/>
      <c r="D172" s="68">
        <v>1.1666666666666665</v>
      </c>
      <c r="E172" s="68">
        <f>3.7</f>
        <v>3.7</v>
      </c>
      <c r="F172" s="68">
        <v>4.7</v>
      </c>
      <c r="G172" s="68">
        <v>56.76</v>
      </c>
      <c r="H172" s="44">
        <v>45</v>
      </c>
      <c r="N172" s="30"/>
      <c r="T172" s="28">
        <v>10</v>
      </c>
      <c r="W172" s="28">
        <v>0</v>
      </c>
      <c r="X172" s="28" t="s">
        <v>100</v>
      </c>
      <c r="Y172" s="28">
        <f>D172*4</f>
        <v>4.6666666666666661</v>
      </c>
      <c r="Z172" s="28">
        <f>E172*9</f>
        <v>33.300000000000004</v>
      </c>
      <c r="AA172" s="28">
        <f>F172*4</f>
        <v>18.8</v>
      </c>
      <c r="AB172" s="28">
        <f>SUBTOTAL(9,Y172:AA172)</f>
        <v>56.766666666666666</v>
      </c>
    </row>
    <row r="173" spans="1:28" ht="18.75" x14ac:dyDescent="0.25">
      <c r="A173" s="18" t="s">
        <v>59</v>
      </c>
      <c r="B173" s="124">
        <v>250</v>
      </c>
      <c r="C173" s="125"/>
      <c r="D173" s="20">
        <v>5.875</v>
      </c>
      <c r="E173" s="20">
        <v>5</v>
      </c>
      <c r="F173" s="20">
        <v>14.125</v>
      </c>
      <c r="G173" s="6">
        <f>125+12</f>
        <v>137</v>
      </c>
      <c r="H173" s="41">
        <v>98</v>
      </c>
      <c r="J173" s="28">
        <f t="shared" si="21"/>
        <v>23.5</v>
      </c>
      <c r="K173" s="28">
        <f t="shared" si="22"/>
        <v>45</v>
      </c>
      <c r="L173" s="28">
        <f t="shared" si="23"/>
        <v>56.5</v>
      </c>
      <c r="M173" s="28">
        <f t="shared" si="24"/>
        <v>125</v>
      </c>
      <c r="T173" s="28">
        <v>10</v>
      </c>
      <c r="W173" s="28">
        <v>0</v>
      </c>
    </row>
    <row r="174" spans="1:28" ht="18.75" x14ac:dyDescent="0.3">
      <c r="A174" s="43" t="s">
        <v>49</v>
      </c>
      <c r="B174" s="94">
        <v>220</v>
      </c>
      <c r="C174" s="95"/>
      <c r="D174" s="7">
        <v>16.766666666666666</v>
      </c>
      <c r="E174" s="7">
        <v>18.654545454545449</v>
      </c>
      <c r="F174" s="7">
        <v>35.054545454545504</v>
      </c>
      <c r="G174" s="7">
        <v>374.81</v>
      </c>
      <c r="H174" s="19">
        <v>265</v>
      </c>
      <c r="J174" s="28">
        <f t="shared" si="21"/>
        <v>67.066666666666663</v>
      </c>
      <c r="K174" s="28">
        <f t="shared" si="22"/>
        <v>167.89090909090905</v>
      </c>
      <c r="L174" s="28">
        <f t="shared" si="23"/>
        <v>140.21818181818202</v>
      </c>
      <c r="M174" s="28">
        <f t="shared" si="24"/>
        <v>375.17575757575776</v>
      </c>
      <c r="P174" s="7">
        <v>16.766666666666666</v>
      </c>
      <c r="Q174" s="7">
        <v>18.654545454545449</v>
      </c>
      <c r="R174" s="7">
        <v>35.054545454545504</v>
      </c>
      <c r="S174" s="7">
        <v>374.81</v>
      </c>
      <c r="T174" s="28">
        <v>10</v>
      </c>
      <c r="W174" s="28">
        <v>0</v>
      </c>
    </row>
    <row r="175" spans="1:28" ht="18.75" x14ac:dyDescent="0.3">
      <c r="A175" s="12" t="s">
        <v>13</v>
      </c>
      <c r="B175" s="135">
        <v>200</v>
      </c>
      <c r="C175" s="99"/>
      <c r="D175" s="7">
        <v>0.3</v>
      </c>
      <c r="E175" s="7">
        <v>0.1</v>
      </c>
      <c r="F175" s="7">
        <v>23.666666666666668</v>
      </c>
      <c r="G175" s="7">
        <v>96</v>
      </c>
      <c r="H175" s="19">
        <v>349</v>
      </c>
      <c r="J175" s="28">
        <f t="shared" si="21"/>
        <v>1.2</v>
      </c>
      <c r="K175" s="28">
        <f t="shared" si="22"/>
        <v>0.9</v>
      </c>
      <c r="L175" s="28">
        <f t="shared" si="23"/>
        <v>94.666666666666671</v>
      </c>
      <c r="M175" s="28">
        <f t="shared" si="24"/>
        <v>96.766666666666666</v>
      </c>
      <c r="N175" s="30"/>
      <c r="T175" s="28">
        <v>10</v>
      </c>
      <c r="W175" s="28">
        <v>0</v>
      </c>
    </row>
    <row r="176" spans="1:28" ht="18.75" x14ac:dyDescent="0.3">
      <c r="A176" s="42" t="s">
        <v>14</v>
      </c>
      <c r="B176" s="86">
        <v>20</v>
      </c>
      <c r="C176" s="87"/>
      <c r="D176" s="7">
        <v>1</v>
      </c>
      <c r="E176" s="7">
        <v>0.2</v>
      </c>
      <c r="F176" s="7">
        <v>9.2000000000000011</v>
      </c>
      <c r="G176" s="7">
        <v>42.347999999999999</v>
      </c>
      <c r="H176" s="19">
        <v>574</v>
      </c>
      <c r="J176" s="28">
        <f t="shared" si="21"/>
        <v>4</v>
      </c>
      <c r="K176" s="28">
        <f t="shared" si="22"/>
        <v>1.8</v>
      </c>
      <c r="L176" s="28">
        <f t="shared" si="23"/>
        <v>36.800000000000004</v>
      </c>
      <c r="M176" s="28">
        <f t="shared" si="24"/>
        <v>42.6</v>
      </c>
      <c r="N176" s="30"/>
      <c r="T176" s="28">
        <v>10</v>
      </c>
      <c r="W176" s="28">
        <v>0</v>
      </c>
    </row>
    <row r="177" spans="1:24" ht="18.75" x14ac:dyDescent="0.3">
      <c r="A177" s="42" t="s">
        <v>15</v>
      </c>
      <c r="B177" s="86">
        <v>30</v>
      </c>
      <c r="C177" s="87"/>
      <c r="D177" s="7">
        <v>2.25</v>
      </c>
      <c r="E177" s="7">
        <v>0.22200000000000003</v>
      </c>
      <c r="F177" s="7">
        <v>14.549999999999999</v>
      </c>
      <c r="G177" s="7">
        <v>69.3</v>
      </c>
      <c r="H177" s="19">
        <v>573</v>
      </c>
      <c r="J177" s="28">
        <f t="shared" si="21"/>
        <v>9</v>
      </c>
      <c r="K177" s="28">
        <f t="shared" si="22"/>
        <v>1.9980000000000002</v>
      </c>
      <c r="L177" s="28">
        <f t="shared" si="23"/>
        <v>58.199999999999996</v>
      </c>
      <c r="M177" s="28">
        <f t="shared" si="24"/>
        <v>69.197999999999993</v>
      </c>
      <c r="N177" s="33">
        <f>2350/100*30</f>
        <v>705</v>
      </c>
      <c r="T177" s="28">
        <v>10</v>
      </c>
      <c r="W177" s="28">
        <v>0</v>
      </c>
    </row>
    <row r="178" spans="1:24" x14ac:dyDescent="0.25">
      <c r="A178" s="9" t="s">
        <v>16</v>
      </c>
      <c r="B178" s="88">
        <f>SUM(B172:C177)</f>
        <v>820</v>
      </c>
      <c r="C178" s="89"/>
      <c r="D178" s="4">
        <f>SUM(D172:D177)</f>
        <v>27.358333333333331</v>
      </c>
      <c r="E178" s="4">
        <f t="shared" ref="E178:G178" si="25">SUM(E172:E177)</f>
        <v>27.87654545454545</v>
      </c>
      <c r="F178" s="4">
        <f t="shared" si="25"/>
        <v>101.29621212121218</v>
      </c>
      <c r="G178" s="4">
        <f t="shared" si="25"/>
        <v>776.21799999999985</v>
      </c>
      <c r="H178" s="24"/>
      <c r="J178" s="28">
        <f t="shared" si="21"/>
        <v>109.43333333333332</v>
      </c>
      <c r="K178" s="28">
        <f t="shared" si="22"/>
        <v>250.88890909090907</v>
      </c>
      <c r="L178" s="28">
        <f t="shared" si="23"/>
        <v>405.18484848484871</v>
      </c>
      <c r="M178" s="28">
        <f t="shared" si="24"/>
        <v>765.50709090909118</v>
      </c>
      <c r="N178" s="33">
        <f>2350/100*50</f>
        <v>1175</v>
      </c>
      <c r="U178" s="33">
        <v>816</v>
      </c>
      <c r="V178" s="30">
        <v>775.2</v>
      </c>
      <c r="W178" s="30">
        <v>856.8</v>
      </c>
      <c r="X178" s="69">
        <f>V178-G178</f>
        <v>-1.0179999999998017</v>
      </c>
    </row>
    <row r="179" spans="1:24" x14ac:dyDescent="0.25">
      <c r="A179" s="23" t="s">
        <v>17</v>
      </c>
      <c r="B179" s="129"/>
      <c r="C179" s="130"/>
      <c r="D179" s="4">
        <f>D170+D178</f>
        <v>35.87833333333333</v>
      </c>
      <c r="E179" s="4">
        <f>E170+E178</f>
        <v>47.180545454545452</v>
      </c>
      <c r="F179" s="4">
        <f>F170+F178</f>
        <v>190.14621212121219</v>
      </c>
      <c r="G179" s="4">
        <f>G170+G178</f>
        <v>1375.1079999999997</v>
      </c>
      <c r="H179" s="8"/>
      <c r="J179" s="28">
        <f t="shared" si="21"/>
        <v>143.51333333333332</v>
      </c>
      <c r="K179" s="28">
        <f t="shared" si="22"/>
        <v>424.62490909090906</v>
      </c>
      <c r="L179" s="28">
        <f t="shared" si="23"/>
        <v>760.58484848484875</v>
      </c>
      <c r="M179" s="28">
        <f t="shared" si="24"/>
        <v>1328.7230909090913</v>
      </c>
      <c r="U179" s="33">
        <f>2720/100*50</f>
        <v>1360</v>
      </c>
      <c r="W179" s="28">
        <v>1292</v>
      </c>
    </row>
    <row r="180" spans="1:24" hidden="1" x14ac:dyDescent="0.25">
      <c r="A180" s="22" t="s">
        <v>22</v>
      </c>
      <c r="B180" s="149">
        <f>B15+B32+B49+B66+B83+B102+B118+B135+B153+B170</f>
        <v>5520</v>
      </c>
      <c r="C180" s="150"/>
      <c r="D180" s="57">
        <f>D15+D32+D49+D66+D83+D102+D118+D135+D153+D170</f>
        <v>146.05000000000001</v>
      </c>
      <c r="E180" s="57">
        <f>E15+E32+E49+E66+E83+E102+E118+E135+E153+E170</f>
        <v>189.04466666666664</v>
      </c>
      <c r="F180" s="57">
        <f>F15+F32+F49+F66+F83+F102+F118+F135+F153+F170</f>
        <v>804.2969393939394</v>
      </c>
      <c r="G180" s="57">
        <f>G15+G32+G49+G66+G83+G102+G118+G135+G153+G170</f>
        <v>5482.2760000000007</v>
      </c>
      <c r="H180" s="24"/>
      <c r="J180" s="28">
        <f t="shared" si="21"/>
        <v>584.20000000000005</v>
      </c>
      <c r="K180" s="28">
        <f t="shared" si="22"/>
        <v>1701.4019999999998</v>
      </c>
      <c r="L180" s="28">
        <f t="shared" si="23"/>
        <v>3217.1877575757576</v>
      </c>
      <c r="M180" s="28">
        <f t="shared" si="24"/>
        <v>5502.7897575757579</v>
      </c>
    </row>
    <row r="181" spans="1:24" hidden="1" x14ac:dyDescent="0.25">
      <c r="A181" s="22" t="s">
        <v>23</v>
      </c>
      <c r="B181" s="149">
        <f>B23+B40+B58+B75+B92+B110+B126+B144+B162+B178</f>
        <v>8480</v>
      </c>
      <c r="C181" s="150"/>
      <c r="D181" s="57">
        <f>D23+D40+D58+D75+D92+D110+D126+D144+D162+D178-13</f>
        <v>256.58304752066113</v>
      </c>
      <c r="E181" s="57">
        <f>E23+E40+E58+E75+E92+E110+E126+E144+E162+E178-28</f>
        <v>263.12547520661161</v>
      </c>
      <c r="F181" s="57">
        <f>F23+F40+F58+F75+F92+F110+F126+F144+F162+F178</f>
        <v>1072.0803016528923</v>
      </c>
      <c r="G181" s="57">
        <f>G23+G40+G58+G75+G92+G110+G126+G144+G162+G178-270</f>
        <v>7745.7183099173544</v>
      </c>
      <c r="H181" s="24"/>
      <c r="J181" s="28">
        <f t="shared" si="21"/>
        <v>1026.3321900826445</v>
      </c>
      <c r="K181" s="28">
        <f t="shared" si="22"/>
        <v>2368.1292768595044</v>
      </c>
      <c r="L181" s="28">
        <f t="shared" si="23"/>
        <v>4288.3212066115693</v>
      </c>
      <c r="M181" s="28">
        <f t="shared" si="24"/>
        <v>7682.7826735537183</v>
      </c>
    </row>
    <row r="182" spans="1:24" hidden="1" x14ac:dyDescent="0.25">
      <c r="A182" s="23" t="s">
        <v>46</v>
      </c>
      <c r="B182" s="88"/>
      <c r="C182" s="89"/>
      <c r="D182" s="21">
        <f t="shared" ref="D182:G182" si="26">D180/10</f>
        <v>14.605</v>
      </c>
      <c r="E182" s="21">
        <f t="shared" si="26"/>
        <v>18.904466666666664</v>
      </c>
      <c r="F182" s="21">
        <f t="shared" si="26"/>
        <v>80.429693939393943</v>
      </c>
      <c r="G182" s="21">
        <f t="shared" si="26"/>
        <v>548.22760000000005</v>
      </c>
      <c r="H182" s="24"/>
      <c r="J182" s="28">
        <f t="shared" si="21"/>
        <v>58.42</v>
      </c>
      <c r="K182" s="28">
        <f t="shared" si="22"/>
        <v>170.14019999999999</v>
      </c>
      <c r="L182" s="28">
        <f t="shared" si="23"/>
        <v>321.71877575757577</v>
      </c>
      <c r="M182" s="28">
        <f t="shared" si="24"/>
        <v>550.27897575757584</v>
      </c>
    </row>
    <row r="183" spans="1:24" hidden="1" x14ac:dyDescent="0.25">
      <c r="A183" s="23" t="s">
        <v>53</v>
      </c>
      <c r="B183" s="129"/>
      <c r="C183" s="130"/>
      <c r="D183" s="58">
        <f>77/100*20</f>
        <v>15.4</v>
      </c>
      <c r="E183" s="58">
        <f>79/100*20</f>
        <v>15.8</v>
      </c>
      <c r="F183" s="58">
        <f>335/100*20</f>
        <v>67</v>
      </c>
      <c r="G183" s="58">
        <f>2350/100*20</f>
        <v>470</v>
      </c>
      <c r="H183" s="24"/>
      <c r="J183" s="28">
        <f t="shared" si="21"/>
        <v>61.6</v>
      </c>
      <c r="K183" s="28">
        <f t="shared" si="22"/>
        <v>142.20000000000002</v>
      </c>
      <c r="L183" s="28">
        <f t="shared" si="23"/>
        <v>268</v>
      </c>
      <c r="M183" s="28">
        <f t="shared" si="24"/>
        <v>471.8</v>
      </c>
    </row>
    <row r="184" spans="1:24" hidden="1" x14ac:dyDescent="0.25">
      <c r="A184" s="23"/>
      <c r="B184" s="63"/>
      <c r="C184" s="64"/>
      <c r="D184" s="58">
        <f>D182-D183</f>
        <v>-0.79499999999999993</v>
      </c>
      <c r="E184" s="58">
        <f t="shared" ref="E184:G184" si="27">E182-E183</f>
        <v>3.1044666666666636</v>
      </c>
      <c r="F184" s="58">
        <f t="shared" si="27"/>
        <v>13.429693939393943</v>
      </c>
      <c r="G184" s="58">
        <f t="shared" si="27"/>
        <v>78.227600000000052</v>
      </c>
      <c r="H184" s="24"/>
      <c r="J184" s="28">
        <f t="shared" si="21"/>
        <v>-3.1799999999999997</v>
      </c>
      <c r="K184" s="28">
        <f t="shared" si="22"/>
        <v>27.940199999999972</v>
      </c>
      <c r="L184" s="28">
        <f t="shared" si="23"/>
        <v>53.71877575757577</v>
      </c>
      <c r="M184" s="28">
        <f t="shared" si="24"/>
        <v>78.478975757575739</v>
      </c>
    </row>
    <row r="185" spans="1:24" hidden="1" x14ac:dyDescent="0.25">
      <c r="A185" s="23" t="s">
        <v>54</v>
      </c>
      <c r="B185" s="129"/>
      <c r="C185" s="130"/>
      <c r="D185" s="70">
        <f>D184/D183</f>
        <v>-5.162337662337662E-2</v>
      </c>
      <c r="E185" s="70">
        <f t="shared" ref="E185:G185" si="28">E184/E183</f>
        <v>0.19648523206751034</v>
      </c>
      <c r="F185" s="70">
        <f t="shared" si="28"/>
        <v>0.20044319312528272</v>
      </c>
      <c r="G185" s="70">
        <f t="shared" si="28"/>
        <v>0.16644170212765969</v>
      </c>
      <c r="H185" s="24"/>
    </row>
    <row r="186" spans="1:24" hidden="1" x14ac:dyDescent="0.25">
      <c r="A186" s="23" t="s">
        <v>47</v>
      </c>
      <c r="B186" s="88"/>
      <c r="C186" s="89"/>
      <c r="D186" s="21">
        <f>D181/10</f>
        <v>25.658304752066112</v>
      </c>
      <c r="E186" s="21">
        <f>E181/10</f>
        <v>26.312547520661163</v>
      </c>
      <c r="F186" s="21">
        <f>F181/10</f>
        <v>107.20803016528923</v>
      </c>
      <c r="G186" s="21">
        <f>G181/10</f>
        <v>774.5718309917354</v>
      </c>
      <c r="H186" s="24"/>
    </row>
    <row r="187" spans="1:24" hidden="1" x14ac:dyDescent="0.25">
      <c r="A187" s="23" t="s">
        <v>55</v>
      </c>
      <c r="B187" s="129"/>
      <c r="C187" s="130"/>
      <c r="D187" s="58">
        <f>77/100*30</f>
        <v>23.1</v>
      </c>
      <c r="E187" s="58">
        <f>79/100*30</f>
        <v>23.700000000000003</v>
      </c>
      <c r="F187" s="58">
        <f>335/100*30</f>
        <v>100.5</v>
      </c>
      <c r="G187" s="58">
        <f>2350/100*30</f>
        <v>705</v>
      </c>
      <c r="H187" s="24"/>
    </row>
    <row r="188" spans="1:24" hidden="1" x14ac:dyDescent="0.25">
      <c r="A188" s="23"/>
      <c r="B188" s="63"/>
      <c r="C188" s="64"/>
      <c r="D188" s="58">
        <f>D186-D187</f>
        <v>2.5583047520661104</v>
      </c>
      <c r="E188" s="58">
        <f t="shared" ref="E188:G188" si="29">E186-E187</f>
        <v>2.6125475206611597</v>
      </c>
      <c r="F188" s="58">
        <f t="shared" si="29"/>
        <v>6.7080301652892302</v>
      </c>
      <c r="G188" s="58">
        <f t="shared" si="29"/>
        <v>69.571830991735396</v>
      </c>
      <c r="H188" s="24"/>
    </row>
    <row r="189" spans="1:24" hidden="1" x14ac:dyDescent="0.25">
      <c r="A189" s="23" t="s">
        <v>54</v>
      </c>
      <c r="B189" s="129"/>
      <c r="C189" s="130"/>
      <c r="D189" s="70">
        <f>D188/D187</f>
        <v>0.11074912346606539</v>
      </c>
      <c r="E189" s="70">
        <f t="shared" ref="E189:G189" si="30">E188/E187</f>
        <v>0.11023407260173668</v>
      </c>
      <c r="F189" s="70">
        <f t="shared" si="30"/>
        <v>6.6746568808848064E-2</v>
      </c>
      <c r="G189" s="70">
        <f t="shared" si="30"/>
        <v>9.8683448215227509E-2</v>
      </c>
      <c r="H189" s="24"/>
    </row>
    <row r="190" spans="1:24" hidden="1" x14ac:dyDescent="0.25">
      <c r="A190" s="9" t="s">
        <v>28</v>
      </c>
      <c r="B190" s="103"/>
      <c r="C190" s="104"/>
      <c r="D190" s="59">
        <f>D180+D181</f>
        <v>402.63304752066114</v>
      </c>
      <c r="E190" s="59">
        <f>E180+E181</f>
        <v>452.17014187327823</v>
      </c>
      <c r="F190" s="59">
        <f>F180+F181</f>
        <v>1876.3772410468318</v>
      </c>
      <c r="G190" s="59">
        <f>G180+G181</f>
        <v>13227.994309917354</v>
      </c>
      <c r="H190" s="24"/>
    </row>
    <row r="191" spans="1:24" hidden="1" x14ac:dyDescent="0.25">
      <c r="A191" s="23" t="s">
        <v>45</v>
      </c>
      <c r="B191" s="129"/>
      <c r="C191" s="130"/>
      <c r="D191" s="59">
        <f>D190/10</f>
        <v>40.263304752066112</v>
      </c>
      <c r="E191" s="59">
        <f t="shared" ref="E191:G191" si="31">E190/10</f>
        <v>45.21701418732782</v>
      </c>
      <c r="F191" s="59">
        <f t="shared" si="31"/>
        <v>187.63772410468317</v>
      </c>
      <c r="G191" s="59">
        <f t="shared" si="31"/>
        <v>1322.7994309917353</v>
      </c>
      <c r="H191" s="24"/>
    </row>
    <row r="192" spans="1:24" hidden="1" x14ac:dyDescent="0.25">
      <c r="A192" s="9" t="s">
        <v>44</v>
      </c>
      <c r="B192" s="103"/>
      <c r="C192" s="104"/>
      <c r="D192" s="36">
        <f>77/100*50</f>
        <v>38.5</v>
      </c>
      <c r="E192" s="36">
        <f>79/100*50</f>
        <v>39.5</v>
      </c>
      <c r="F192" s="36">
        <f>335/100*50</f>
        <v>167.5</v>
      </c>
      <c r="G192" s="36">
        <f>2350/100*50</f>
        <v>1175</v>
      </c>
      <c r="H192" s="24"/>
    </row>
    <row r="193" spans="1:8" hidden="1" x14ac:dyDescent="0.25">
      <c r="D193" s="31">
        <f>D191-D192</f>
        <v>1.7633047520661123</v>
      </c>
      <c r="E193" s="31">
        <f t="shared" ref="E193:G193" si="32">E191-E192</f>
        <v>5.7170141873278197</v>
      </c>
      <c r="F193" s="31">
        <f t="shared" si="32"/>
        <v>20.137724104683173</v>
      </c>
      <c r="G193" s="31">
        <f t="shared" si="32"/>
        <v>147.79943099173533</v>
      </c>
    </row>
    <row r="194" spans="1:8" ht="18.75" hidden="1" x14ac:dyDescent="0.3">
      <c r="A194" s="23" t="s">
        <v>54</v>
      </c>
      <c r="B194" s="145"/>
      <c r="C194" s="145"/>
      <c r="D194" s="71">
        <f>D193/D192</f>
        <v>4.5800123430288629E-2</v>
      </c>
      <c r="E194" s="71">
        <f t="shared" ref="E194:G194" si="33">E193/E192</f>
        <v>0.14473453638804606</v>
      </c>
      <c r="F194" s="71">
        <f t="shared" si="33"/>
        <v>0.12022521853542192</v>
      </c>
      <c r="G194" s="71">
        <f t="shared" si="33"/>
        <v>0.1257867497802003</v>
      </c>
      <c r="H194" s="42"/>
    </row>
    <row r="195" spans="1:8" ht="18.75" x14ac:dyDescent="0.25">
      <c r="A195" s="45"/>
      <c r="B195" s="146"/>
      <c r="C195" s="146"/>
      <c r="D195" s="46"/>
      <c r="E195" s="46"/>
      <c r="F195" s="46"/>
      <c r="G195" s="46"/>
      <c r="H195" s="47"/>
    </row>
    <row r="211" spans="3:8" ht="15" x14ac:dyDescent="0.25">
      <c r="C211" s="28"/>
      <c r="D211" s="28"/>
      <c r="E211" s="28"/>
      <c r="F211" s="28"/>
      <c r="G211" s="28"/>
      <c r="H211" s="28"/>
    </row>
    <row r="212" spans="3:8" ht="15" x14ac:dyDescent="0.25">
      <c r="C212" s="28"/>
      <c r="D212" s="28"/>
      <c r="E212" s="28"/>
      <c r="F212" s="28"/>
      <c r="G212" s="28"/>
      <c r="H212" s="28"/>
    </row>
    <row r="221" spans="3:8" ht="15" x14ac:dyDescent="0.25">
      <c r="C221" s="28"/>
      <c r="D221" s="28"/>
      <c r="E221" s="28"/>
      <c r="F221" s="28"/>
      <c r="G221" s="28"/>
      <c r="H221" s="28"/>
    </row>
  </sheetData>
  <mergeCells count="193">
    <mergeCell ref="B194:C194"/>
    <mergeCell ref="B195:C195"/>
    <mergeCell ref="B17:C17"/>
    <mergeCell ref="B13:C13"/>
    <mergeCell ref="B30:C30"/>
    <mergeCell ref="B34:C34"/>
    <mergeCell ref="B47:C47"/>
    <mergeCell ref="B51:C51"/>
    <mergeCell ref="B186:C186"/>
    <mergeCell ref="B187:C187"/>
    <mergeCell ref="B189:C189"/>
    <mergeCell ref="B190:C190"/>
    <mergeCell ref="B191:C191"/>
    <mergeCell ref="B192:C192"/>
    <mergeCell ref="B179:C179"/>
    <mergeCell ref="B180:C180"/>
    <mergeCell ref="B181:C181"/>
    <mergeCell ref="B182:C182"/>
    <mergeCell ref="B183:C183"/>
    <mergeCell ref="B185:C185"/>
    <mergeCell ref="B173:C173"/>
    <mergeCell ref="B174:C174"/>
    <mergeCell ref="B175:C175"/>
    <mergeCell ref="B176:C176"/>
    <mergeCell ref="B177:C177"/>
    <mergeCell ref="B178:C178"/>
    <mergeCell ref="B165:C165"/>
    <mergeCell ref="B166:C166"/>
    <mergeCell ref="B167:C167"/>
    <mergeCell ref="B169:C169"/>
    <mergeCell ref="B170:C170"/>
    <mergeCell ref="A171:C171"/>
    <mergeCell ref="B159:C159"/>
    <mergeCell ref="B160:C160"/>
    <mergeCell ref="B161:C161"/>
    <mergeCell ref="B162:C162"/>
    <mergeCell ref="B163:C163"/>
    <mergeCell ref="A164:H164"/>
    <mergeCell ref="B172:C172"/>
    <mergeCell ref="B168:C168"/>
    <mergeCell ref="B152:C152"/>
    <mergeCell ref="B153:C153"/>
    <mergeCell ref="A154:C154"/>
    <mergeCell ref="B156:C156"/>
    <mergeCell ref="B157:C157"/>
    <mergeCell ref="B158:C158"/>
    <mergeCell ref="B148:C148"/>
    <mergeCell ref="B149:C149"/>
    <mergeCell ref="B150:C150"/>
    <mergeCell ref="B151:C151"/>
    <mergeCell ref="B155:C155"/>
    <mergeCell ref="B139:C139"/>
    <mergeCell ref="B140:C140"/>
    <mergeCell ref="B141:C141"/>
    <mergeCell ref="B142:C142"/>
    <mergeCell ref="B143:C143"/>
    <mergeCell ref="B144:C144"/>
    <mergeCell ref="B127:C127"/>
    <mergeCell ref="A128:G128"/>
    <mergeCell ref="A129:C129"/>
    <mergeCell ref="B132:C132"/>
    <mergeCell ref="B133:C133"/>
    <mergeCell ref="B137:C137"/>
    <mergeCell ref="B138:C138"/>
    <mergeCell ref="B145:C145"/>
    <mergeCell ref="A146:G146"/>
    <mergeCell ref="A147:C147"/>
    <mergeCell ref="B101:C101"/>
    <mergeCell ref="B102:C102"/>
    <mergeCell ref="A103:C103"/>
    <mergeCell ref="B104:C104"/>
    <mergeCell ref="B116:C116"/>
    <mergeCell ref="B120:C120"/>
    <mergeCell ref="B105:C105"/>
    <mergeCell ref="B106:C106"/>
    <mergeCell ref="B107:C107"/>
    <mergeCell ref="B108:C108"/>
    <mergeCell ref="B109:C109"/>
    <mergeCell ref="B110:C110"/>
    <mergeCell ref="B111:C111"/>
    <mergeCell ref="A112:H112"/>
    <mergeCell ref="A113:C113"/>
    <mergeCell ref="B114:C114"/>
    <mergeCell ref="B115:C115"/>
    <mergeCell ref="B117:C117"/>
    <mergeCell ref="B124:C124"/>
    <mergeCell ref="B125:C125"/>
    <mergeCell ref="B118:C118"/>
    <mergeCell ref="B90:C90"/>
    <mergeCell ref="B91:C91"/>
    <mergeCell ref="B92:C92"/>
    <mergeCell ref="B93:C93"/>
    <mergeCell ref="A94:G94"/>
    <mergeCell ref="A95:C95"/>
    <mergeCell ref="B100:C100"/>
    <mergeCell ref="B83:C83"/>
    <mergeCell ref="A84:C84"/>
    <mergeCell ref="B86:C86"/>
    <mergeCell ref="B87:C87"/>
    <mergeCell ref="B88:C88"/>
    <mergeCell ref="B89:C89"/>
    <mergeCell ref="B96:C96"/>
    <mergeCell ref="B98:C98"/>
    <mergeCell ref="B99:C99"/>
    <mergeCell ref="B97:C97"/>
    <mergeCell ref="B76:C76"/>
    <mergeCell ref="A77:G77"/>
    <mergeCell ref="A78:C78"/>
    <mergeCell ref="B79:C79"/>
    <mergeCell ref="B80:C80"/>
    <mergeCell ref="B82:C82"/>
    <mergeCell ref="B81:C81"/>
    <mergeCell ref="B85:C85"/>
    <mergeCell ref="B70:C70"/>
    <mergeCell ref="B71:C71"/>
    <mergeCell ref="B72:C72"/>
    <mergeCell ref="B73:C73"/>
    <mergeCell ref="B74:C74"/>
    <mergeCell ref="B75:C75"/>
    <mergeCell ref="B65:C65"/>
    <mergeCell ref="B66:C66"/>
    <mergeCell ref="B69:C69"/>
    <mergeCell ref="B64:C64"/>
    <mergeCell ref="B68:C68"/>
    <mergeCell ref="B57:C57"/>
    <mergeCell ref="B58:C58"/>
    <mergeCell ref="B59:C59"/>
    <mergeCell ref="A60:G60"/>
    <mergeCell ref="B61:C61"/>
    <mergeCell ref="B62:C62"/>
    <mergeCell ref="B63:C63"/>
    <mergeCell ref="A50:C50"/>
    <mergeCell ref="B52:C52"/>
    <mergeCell ref="B53:C53"/>
    <mergeCell ref="B54:C54"/>
    <mergeCell ref="B55:C55"/>
    <mergeCell ref="B56:C56"/>
    <mergeCell ref="A43:C43"/>
    <mergeCell ref="B44:C44"/>
    <mergeCell ref="B45:C45"/>
    <mergeCell ref="B46:C46"/>
    <mergeCell ref="B48:C48"/>
    <mergeCell ref="B49:C49"/>
    <mergeCell ref="B37:C37"/>
    <mergeCell ref="B38:C38"/>
    <mergeCell ref="B39:C39"/>
    <mergeCell ref="B40:C40"/>
    <mergeCell ref="B41:C41"/>
    <mergeCell ref="A42:G42"/>
    <mergeCell ref="B29:C29"/>
    <mergeCell ref="B31:C31"/>
    <mergeCell ref="B32:C32"/>
    <mergeCell ref="A33:C33"/>
    <mergeCell ref="B35:C35"/>
    <mergeCell ref="B36:C36"/>
    <mergeCell ref="B23:C23"/>
    <mergeCell ref="B24:C24"/>
    <mergeCell ref="A25:G25"/>
    <mergeCell ref="A26:C26"/>
    <mergeCell ref="B27:C27"/>
    <mergeCell ref="B28:C28"/>
    <mergeCell ref="A16:C16"/>
    <mergeCell ref="B18:C18"/>
    <mergeCell ref="B19:C19"/>
    <mergeCell ref="B20:C20"/>
    <mergeCell ref="B21:C21"/>
    <mergeCell ref="B22:C22"/>
    <mergeCell ref="A9:G9"/>
    <mergeCell ref="A10:C10"/>
    <mergeCell ref="B11:C11"/>
    <mergeCell ref="B12:C12"/>
    <mergeCell ref="B14:C14"/>
    <mergeCell ref="B15:C15"/>
    <mergeCell ref="A2:H2"/>
    <mergeCell ref="A4:A8"/>
    <mergeCell ref="B4:C4"/>
    <mergeCell ref="H4:H8"/>
    <mergeCell ref="B5:C8"/>
    <mergeCell ref="D5:F5"/>
    <mergeCell ref="G5:G8"/>
    <mergeCell ref="D6:D8"/>
    <mergeCell ref="E6:E8"/>
    <mergeCell ref="F6:F8"/>
    <mergeCell ref="B122:C122"/>
    <mergeCell ref="A119:C119"/>
    <mergeCell ref="B121:C121"/>
    <mergeCell ref="B123:C123"/>
    <mergeCell ref="B130:C130"/>
    <mergeCell ref="B131:C131"/>
    <mergeCell ref="B134:C134"/>
    <mergeCell ref="B135:C135"/>
    <mergeCell ref="A136:C136"/>
    <mergeCell ref="B126:C126"/>
  </mergeCells>
  <pageMargins left="0.7" right="0.7" top="0.75" bottom="0.75" header="0.3" footer="0.3"/>
  <pageSetup paperSize="9" scale="94" fitToHeight="0" orientation="landscape" r:id="rId1"/>
  <rowBreaks count="9" manualBreakCount="9">
    <brk id="24" max="16383" man="1"/>
    <brk id="41" max="16383" man="1"/>
    <brk id="59" max="16383" man="1"/>
    <brk id="76" max="16383" man="1"/>
    <brk id="93" max="16383" man="1"/>
    <brk id="111" max="16383" man="1"/>
    <brk id="127" max="16383" man="1"/>
    <brk id="145" max="16383" man="1"/>
    <brk id="16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ЗАВТРАК 5 КЛАСС</vt:lpstr>
      <vt:lpstr>платное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User</cp:lastModifiedBy>
  <cp:lastPrinted>2022-10-28T06:28:46Z</cp:lastPrinted>
  <dcterms:created xsi:type="dcterms:W3CDTF">2021-04-22T06:25:36Z</dcterms:created>
  <dcterms:modified xsi:type="dcterms:W3CDTF">2022-11-17T07:42:29Z</dcterms:modified>
</cp:coreProperties>
</file>